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5 - 0036.109115.2022-75 - 4º Ajust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90" r:id="rId4"/>
    <sheet name="Motorista - Noturno" sheetId="91" r:id="rId5"/>
    <sheet name="Técnico de Enfermagem - Diurno" sheetId="88" r:id="rId6"/>
    <sheet name="Técnico de Enfermagem - Noturno" sheetId="93" r:id="rId7"/>
    <sheet name="Enfermeiro - Diurno" sheetId="83" r:id="rId8"/>
    <sheet name="Enfermeiro - Noturno" sheetId="94" r:id="rId9"/>
    <sheet name="Médico - Diurno " sheetId="85" r:id="rId10"/>
    <sheet name="Médico - Noturno" sheetId="95" r:id="rId11"/>
    <sheet name="Uniformes" sheetId="82" r:id="rId12"/>
    <sheet name="Materiais" sheetId="96" r:id="rId13"/>
    <sheet name="Equipamentos" sheetId="92" r:id="rId14"/>
  </sheets>
  <definedNames>
    <definedName name="_xlnm.Print_Area" localSheetId="7">'Enfermeiro - Diurno'!$A$1:$E$112</definedName>
    <definedName name="_xlnm.Print_Area" localSheetId="8">'Enfermeiro - Noturno'!$A$1:$E$112</definedName>
    <definedName name="_xlnm.Print_Area" localSheetId="13">Equipamentos!$A$1:$H$36</definedName>
    <definedName name="_xlnm.Print_Area" localSheetId="12">Materiais!$A$1:$H$29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Diurno'!$A$1:$H$112</definedName>
    <definedName name="_xlnm.Print_Area" localSheetId="4">'Motorista - Noturno'!$A$1:$F$113</definedName>
    <definedName name="_xlnm.Print_Area" localSheetId="2">Planilha!$A$1:$H$38</definedName>
    <definedName name="_xlnm.Print_Area" localSheetId="5">'Técnico de Enfermagem - Diurno'!$A$1:$F$113</definedName>
    <definedName name="_xlnm.Print_Area" localSheetId="6">'Técnico de Enfermagem - Noturno'!$A$1:$D$113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96" l="1"/>
  <c r="H19" i="96"/>
  <c r="H22" i="96"/>
  <c r="H21" i="96"/>
  <c r="H18" i="96"/>
  <c r="H8" i="96"/>
  <c r="H16" i="96"/>
  <c r="H15" i="96"/>
  <c r="H14" i="96"/>
  <c r="H12" i="96"/>
  <c r="G15" i="96"/>
  <c r="G14" i="96"/>
  <c r="G12" i="96"/>
  <c r="F12" i="96"/>
  <c r="E15" i="96"/>
  <c r="E14" i="96"/>
  <c r="E12" i="96"/>
  <c r="H7" i="96"/>
  <c r="H6" i="96"/>
  <c r="H4" i="96"/>
  <c r="G7" i="96"/>
  <c r="G6" i="96"/>
  <c r="G4" i="96"/>
  <c r="F4" i="96"/>
  <c r="E7" i="96"/>
  <c r="E6" i="96"/>
  <c r="E4" i="96"/>
  <c r="C13" i="95" l="1"/>
  <c r="C13" i="85"/>
  <c r="F18" i="91" l="1"/>
  <c r="E18" i="91" l="1"/>
  <c r="F18" i="90"/>
  <c r="E18" i="90"/>
  <c r="E49" i="91" l="1"/>
  <c r="D49" i="91"/>
  <c r="F48" i="91"/>
  <c r="E48" i="91"/>
  <c r="D48" i="91"/>
  <c r="F47" i="91"/>
  <c r="F49" i="91" s="1"/>
  <c r="E47" i="91"/>
  <c r="D47" i="91"/>
  <c r="F45" i="91"/>
  <c r="E45" i="91"/>
  <c r="D45" i="91"/>
  <c r="H47" i="90"/>
  <c r="G47" i="90"/>
  <c r="F47" i="90"/>
  <c r="E47" i="90"/>
  <c r="D47" i="90"/>
  <c r="H46" i="90"/>
  <c r="G46" i="90"/>
  <c r="F46" i="90"/>
  <c r="E46" i="90"/>
  <c r="D46" i="90"/>
  <c r="H44" i="90"/>
  <c r="G44" i="90"/>
  <c r="F44" i="90"/>
  <c r="E44" i="90"/>
  <c r="D44" i="90"/>
  <c r="H86" i="90" l="1"/>
  <c r="G86" i="90"/>
  <c r="F86" i="90"/>
  <c r="E86" i="90"/>
  <c r="D86" i="90"/>
  <c r="E86" i="95"/>
  <c r="D86" i="95"/>
  <c r="E86" i="85"/>
  <c r="D86" i="85"/>
  <c r="E86" i="94"/>
  <c r="D86" i="94"/>
  <c r="E86" i="83"/>
  <c r="D86" i="83"/>
  <c r="F87" i="88"/>
  <c r="E87" i="88"/>
  <c r="D87" i="88"/>
  <c r="F87" i="91"/>
  <c r="E87" i="91"/>
  <c r="D87" i="91"/>
  <c r="H22" i="92" l="1"/>
  <c r="H21" i="92"/>
  <c r="H20" i="92"/>
  <c r="H19" i="92"/>
  <c r="H18" i="92"/>
  <c r="G6" i="82" l="1"/>
  <c r="H6" i="82" s="1"/>
  <c r="G5" i="82"/>
  <c r="H5" i="82" s="1"/>
  <c r="G4" i="82"/>
  <c r="H4" i="82" s="1"/>
  <c r="G3" i="82"/>
  <c r="H3" i="82" s="1"/>
  <c r="E6" i="82"/>
  <c r="E5" i="82"/>
  <c r="E4" i="82"/>
  <c r="A4" i="82"/>
  <c r="A5" i="82" s="1"/>
  <c r="E3" i="82"/>
  <c r="H7" i="82" l="1"/>
  <c r="D20" i="90"/>
  <c r="F4" i="92" l="1"/>
  <c r="G4" i="92" s="1"/>
  <c r="H4" i="92" s="1"/>
  <c r="F6" i="92"/>
  <c r="F12" i="92"/>
  <c r="F14" i="92"/>
  <c r="G16" i="92"/>
  <c r="H16" i="92" s="1"/>
  <c r="G14" i="92"/>
  <c r="H14" i="92" s="1"/>
  <c r="G12" i="92"/>
  <c r="H12" i="92" s="1"/>
  <c r="G8" i="92"/>
  <c r="H8" i="92" s="1"/>
  <c r="G6" i="92"/>
  <c r="H6" i="92" s="1"/>
  <c r="H85" i="90" l="1"/>
  <c r="E86" i="88"/>
  <c r="D86" i="91"/>
  <c r="E85" i="85"/>
  <c r="E85" i="90"/>
  <c r="D87" i="93"/>
  <c r="D86" i="93"/>
  <c r="C102" i="95"/>
  <c r="C94" i="95"/>
  <c r="E74" i="95"/>
  <c r="D74" i="95"/>
  <c r="C70" i="95"/>
  <c r="C78" i="95" s="1"/>
  <c r="C80" i="95" s="1"/>
  <c r="C41" i="95"/>
  <c r="C28" i="95"/>
  <c r="C30" i="95" s="1"/>
  <c r="E20" i="95"/>
  <c r="D20" i="95"/>
  <c r="D74" i="85"/>
  <c r="D52" i="85"/>
  <c r="D48" i="85"/>
  <c r="D18" i="85"/>
  <c r="D25" i="85" s="1"/>
  <c r="D20" i="85"/>
  <c r="E85" i="95" l="1"/>
  <c r="D85" i="90"/>
  <c r="D86" i="88"/>
  <c r="E86" i="91"/>
  <c r="F85" i="90"/>
  <c r="E85" i="94"/>
  <c r="F86" i="91"/>
  <c r="E85" i="83"/>
  <c r="D85" i="85"/>
  <c r="F86" i="88"/>
  <c r="G85" i="90"/>
  <c r="D85" i="95"/>
  <c r="D85" i="83"/>
  <c r="D85" i="94"/>
  <c r="D58" i="85"/>
  <c r="D57" i="85"/>
  <c r="D56" i="85"/>
  <c r="D60" i="85"/>
  <c r="D29" i="85"/>
  <c r="D28" i="85"/>
  <c r="D30" i="85" s="1"/>
  <c r="D50" i="85" s="1"/>
  <c r="D105" i="85"/>
  <c r="D59" i="85"/>
  <c r="E18" i="95"/>
  <c r="D18" i="95"/>
  <c r="E21" i="94"/>
  <c r="D21" i="94"/>
  <c r="C102" i="94"/>
  <c r="C94" i="94"/>
  <c r="E74" i="94"/>
  <c r="D74" i="94"/>
  <c r="C70" i="94"/>
  <c r="C78" i="94" s="1"/>
  <c r="C80" i="94" s="1"/>
  <c r="C41" i="94"/>
  <c r="C28" i="94"/>
  <c r="C30" i="94" s="1"/>
  <c r="E20" i="94"/>
  <c r="D20" i="94"/>
  <c r="E18" i="94"/>
  <c r="D18" i="94"/>
  <c r="D107" i="83"/>
  <c r="D105" i="83"/>
  <c r="D74" i="83"/>
  <c r="D60" i="83"/>
  <c r="D59" i="83"/>
  <c r="D58" i="83"/>
  <c r="D57" i="83"/>
  <c r="D56" i="83"/>
  <c r="D61" i="83"/>
  <c r="D51" i="83"/>
  <c r="D50" i="83"/>
  <c r="D48" i="83"/>
  <c r="D52" i="83" s="1"/>
  <c r="D40" i="83"/>
  <c r="D39" i="83"/>
  <c r="D38" i="83"/>
  <c r="D37" i="83"/>
  <c r="D36" i="83"/>
  <c r="D35" i="83"/>
  <c r="D34" i="83"/>
  <c r="D33" i="83"/>
  <c r="D41" i="83"/>
  <c r="D29" i="83"/>
  <c r="D28" i="83"/>
  <c r="D30" i="83"/>
  <c r="D18" i="83"/>
  <c r="D20" i="83"/>
  <c r="D25" i="83"/>
  <c r="D108" i="88"/>
  <c r="D106" i="88"/>
  <c r="D61" i="88"/>
  <c r="D60" i="88"/>
  <c r="D59" i="88"/>
  <c r="D58" i="88"/>
  <c r="D57" i="88"/>
  <c r="D62" i="88"/>
  <c r="D51" i="88"/>
  <c r="D29" i="88"/>
  <c r="D28" i="88"/>
  <c r="D30" i="88"/>
  <c r="F18" i="88"/>
  <c r="D18" i="88"/>
  <c r="D20" i="88"/>
  <c r="D25" i="88"/>
  <c r="F20" i="88"/>
  <c r="F25" i="88"/>
  <c r="F29" i="88" s="1"/>
  <c r="D21" i="93"/>
  <c r="D21" i="95" l="1"/>
  <c r="D25" i="95" s="1"/>
  <c r="E25" i="95"/>
  <c r="E21" i="95"/>
  <c r="D37" i="85"/>
  <c r="D40" i="85"/>
  <c r="D33" i="85"/>
  <c r="D34" i="85"/>
  <c r="D61" i="85"/>
  <c r="D107" i="85" s="1"/>
  <c r="D38" i="85"/>
  <c r="D35" i="85"/>
  <c r="D39" i="85"/>
  <c r="D36" i="85"/>
  <c r="F106" i="88"/>
  <c r="F57" i="88"/>
  <c r="F58" i="88"/>
  <c r="F59" i="88"/>
  <c r="F60" i="88"/>
  <c r="F61" i="88"/>
  <c r="F28" i="88"/>
  <c r="F30" i="88" s="1"/>
  <c r="F51" i="88" s="1"/>
  <c r="D53" i="83"/>
  <c r="F49" i="88"/>
  <c r="F53" i="88" s="1"/>
  <c r="D49" i="88"/>
  <c r="D53" i="88" s="1"/>
  <c r="E48" i="95"/>
  <c r="E52" i="95" s="1"/>
  <c r="D48" i="95"/>
  <c r="D52" i="95" s="1"/>
  <c r="D25" i="94"/>
  <c r="E25" i="94"/>
  <c r="D48" i="94"/>
  <c r="D52" i="94" s="1"/>
  <c r="E48" i="94"/>
  <c r="E52" i="94" s="1"/>
  <c r="C103" i="93"/>
  <c r="C95" i="93"/>
  <c r="C75" i="93"/>
  <c r="C71" i="93"/>
  <c r="C79" i="93" s="1"/>
  <c r="C81" i="93" s="1"/>
  <c r="C41" i="93"/>
  <c r="C28" i="93"/>
  <c r="C30" i="93" s="1"/>
  <c r="D20" i="93"/>
  <c r="D18" i="93"/>
  <c r="E20" i="85"/>
  <c r="E20" i="83"/>
  <c r="E20" i="88"/>
  <c r="F20" i="91"/>
  <c r="E20" i="91"/>
  <c r="D20" i="91"/>
  <c r="G20" i="90"/>
  <c r="F20" i="90"/>
  <c r="E20" i="90"/>
  <c r="H20" i="90"/>
  <c r="D60" i="95" l="1"/>
  <c r="D59" i="95"/>
  <c r="D56" i="95"/>
  <c r="D58" i="95"/>
  <c r="D57" i="95"/>
  <c r="D29" i="95"/>
  <c r="D28" i="95"/>
  <c r="D30" i="95" s="1"/>
  <c r="D37" i="95" s="1"/>
  <c r="D105" i="95"/>
  <c r="D41" i="85"/>
  <c r="D51" i="85" s="1"/>
  <c r="D53" i="85" s="1"/>
  <c r="F62" i="88"/>
  <c r="F108" i="88" s="1"/>
  <c r="D106" i="83"/>
  <c r="D79" i="83"/>
  <c r="E105" i="95"/>
  <c r="E60" i="95"/>
  <c r="E59" i="95"/>
  <c r="E58" i="95"/>
  <c r="E57" i="95"/>
  <c r="E56" i="95"/>
  <c r="E61" i="95" s="1"/>
  <c r="E107" i="95" s="1"/>
  <c r="E29" i="95"/>
  <c r="E28" i="95"/>
  <c r="E30" i="95" s="1"/>
  <c r="E105" i="94"/>
  <c r="E60" i="94"/>
  <c r="E59" i="94"/>
  <c r="E58" i="94"/>
  <c r="E57" i="94"/>
  <c r="E56" i="94"/>
  <c r="E61" i="94" s="1"/>
  <c r="E107" i="94" s="1"/>
  <c r="E29" i="94"/>
  <c r="E28" i="94"/>
  <c r="E30" i="94" s="1"/>
  <c r="D105" i="94"/>
  <c r="D60" i="94"/>
  <c r="D59" i="94"/>
  <c r="D58" i="94"/>
  <c r="D57" i="94"/>
  <c r="D56" i="94"/>
  <c r="D61" i="94" s="1"/>
  <c r="D107" i="94" s="1"/>
  <c r="D29" i="94"/>
  <c r="D28" i="94"/>
  <c r="D30" i="94" s="1"/>
  <c r="D25" i="93"/>
  <c r="D49" i="93"/>
  <c r="D53" i="93" s="1"/>
  <c r="D18" i="91"/>
  <c r="D21" i="91" s="1"/>
  <c r="D73" i="90"/>
  <c r="D74" i="90"/>
  <c r="D18" i="90"/>
  <c r="D25" i="90" s="1"/>
  <c r="D38" i="95" l="1"/>
  <c r="D33" i="95"/>
  <c r="D34" i="95"/>
  <c r="D39" i="95"/>
  <c r="D50" i="95"/>
  <c r="D35" i="95"/>
  <c r="D61" i="95"/>
  <c r="D107" i="95" s="1"/>
  <c r="D40" i="95"/>
  <c r="D36" i="95"/>
  <c r="D106" i="85"/>
  <c r="D79" i="85"/>
  <c r="D48" i="90"/>
  <c r="D52" i="90" s="1"/>
  <c r="E50" i="95"/>
  <c r="E40" i="95"/>
  <c r="E39" i="95"/>
  <c r="E38" i="95"/>
  <c r="E37" i="95"/>
  <c r="E36" i="95"/>
  <c r="E35" i="95"/>
  <c r="E34" i="95"/>
  <c r="E33" i="95"/>
  <c r="E41" i="95" s="1"/>
  <c r="E51" i="95" s="1"/>
  <c r="D50" i="94"/>
  <c r="D40" i="94"/>
  <c r="D39" i="94"/>
  <c r="D38" i="94"/>
  <c r="D37" i="94"/>
  <c r="D36" i="94"/>
  <c r="D35" i="94"/>
  <c r="D34" i="94"/>
  <c r="D33" i="94"/>
  <c r="D41" i="94" s="1"/>
  <c r="D51" i="94" s="1"/>
  <c r="E50" i="94"/>
  <c r="E40" i="94"/>
  <c r="E39" i="94"/>
  <c r="E38" i="94"/>
  <c r="E37" i="94"/>
  <c r="E36" i="94"/>
  <c r="E35" i="94"/>
  <c r="E34" i="94"/>
  <c r="E33" i="94"/>
  <c r="E41" i="94" s="1"/>
  <c r="E51" i="94" s="1"/>
  <c r="D106" i="93"/>
  <c r="D61" i="93"/>
  <c r="D60" i="93"/>
  <c r="D59" i="93"/>
  <c r="D58" i="93"/>
  <c r="D57" i="93"/>
  <c r="D62" i="93" s="1"/>
  <c r="D108" i="93" s="1"/>
  <c r="D29" i="93"/>
  <c r="D28" i="93"/>
  <c r="D30" i="93" s="1"/>
  <c r="D56" i="90"/>
  <c r="D105" i="90"/>
  <c r="D60" i="90"/>
  <c r="D59" i="90"/>
  <c r="D58" i="90"/>
  <c r="D57" i="90"/>
  <c r="D29" i="90"/>
  <c r="D53" i="91"/>
  <c r="D25" i="91"/>
  <c r="D58" i="91" s="1"/>
  <c r="H73" i="90"/>
  <c r="H74" i="90"/>
  <c r="H18" i="90"/>
  <c r="H25" i="90"/>
  <c r="D41" i="95" l="1"/>
  <c r="D51" i="95" s="1"/>
  <c r="D53" i="95" s="1"/>
  <c r="H48" i="90"/>
  <c r="H52" i="90" s="1"/>
  <c r="E53" i="95"/>
  <c r="E53" i="94"/>
  <c r="D53" i="94"/>
  <c r="D51" i="93"/>
  <c r="D40" i="93"/>
  <c r="D39" i="93"/>
  <c r="D38" i="93"/>
  <c r="D37" i="93"/>
  <c r="D36" i="93"/>
  <c r="D35" i="93"/>
  <c r="D34" i="93"/>
  <c r="D33" i="93"/>
  <c r="D41" i="93" s="1"/>
  <c r="D52" i="93" s="1"/>
  <c r="H105" i="90"/>
  <c r="D61" i="90"/>
  <c r="D107" i="90" s="1"/>
  <c r="D106" i="91"/>
  <c r="D61" i="91"/>
  <c r="D60" i="91"/>
  <c r="D59" i="91"/>
  <c r="D57" i="91"/>
  <c r="D62" i="91" s="1"/>
  <c r="D108" i="91" s="1"/>
  <c r="D29" i="91"/>
  <c r="E53" i="91"/>
  <c r="H60" i="90"/>
  <c r="H59" i="90"/>
  <c r="H58" i="90"/>
  <c r="H57" i="90"/>
  <c r="H56" i="90"/>
  <c r="H29" i="90"/>
  <c r="E21" i="91"/>
  <c r="E25" i="91" s="1"/>
  <c r="E58" i="91" s="1"/>
  <c r="D79" i="95" l="1"/>
  <c r="D106" i="95"/>
  <c r="H61" i="90"/>
  <c r="H107" i="90" s="1"/>
  <c r="E106" i="95"/>
  <c r="E79" i="95"/>
  <c r="D106" i="94"/>
  <c r="D79" i="94"/>
  <c r="E106" i="94"/>
  <c r="E79" i="94"/>
  <c r="D54" i="93"/>
  <c r="E106" i="91"/>
  <c r="E61" i="91"/>
  <c r="E60" i="91"/>
  <c r="E59" i="91"/>
  <c r="E57" i="91"/>
  <c r="E29" i="91"/>
  <c r="C103" i="91"/>
  <c r="C95" i="91"/>
  <c r="C75" i="91"/>
  <c r="C71" i="91"/>
  <c r="C79" i="91" s="1"/>
  <c r="C81" i="91" s="1"/>
  <c r="C41" i="91"/>
  <c r="C28" i="91"/>
  <c r="D28" i="91" s="1"/>
  <c r="D30" i="91" s="1"/>
  <c r="C102" i="90"/>
  <c r="C94" i="90" s="1"/>
  <c r="G73" i="90"/>
  <c r="G74" i="90" s="1"/>
  <c r="F73" i="90"/>
  <c r="F74" i="90" s="1"/>
  <c r="E73" i="90"/>
  <c r="E74" i="90" s="1"/>
  <c r="C70" i="90"/>
  <c r="C78" i="90" s="1"/>
  <c r="C80" i="90" s="1"/>
  <c r="C41" i="90"/>
  <c r="C28" i="90"/>
  <c r="G18" i="90"/>
  <c r="E62" i="91" l="1"/>
  <c r="E108" i="91" s="1"/>
  <c r="D28" i="90"/>
  <c r="D30" i="90" s="1"/>
  <c r="H28" i="90"/>
  <c r="D107" i="93"/>
  <c r="D80" i="93"/>
  <c r="D74" i="93"/>
  <c r="D75" i="93" s="1"/>
  <c r="D40" i="91"/>
  <c r="D39" i="91"/>
  <c r="D38" i="91"/>
  <c r="D37" i="91"/>
  <c r="D36" i="91"/>
  <c r="D35" i="91"/>
  <c r="D34" i="91"/>
  <c r="D33" i="91"/>
  <c r="D41" i="91" s="1"/>
  <c r="D52" i="91" s="1"/>
  <c r="D51" i="91"/>
  <c r="C30" i="91"/>
  <c r="E28" i="91"/>
  <c r="E30" i="91" s="1"/>
  <c r="C30" i="90"/>
  <c r="F21" i="91"/>
  <c r="F25" i="91" s="1"/>
  <c r="F53" i="91"/>
  <c r="E48" i="90"/>
  <c r="E52" i="90" s="1"/>
  <c r="E25" i="90"/>
  <c r="F48" i="90"/>
  <c r="F52" i="90" s="1"/>
  <c r="F25" i="90"/>
  <c r="G25" i="90"/>
  <c r="G48" i="90"/>
  <c r="G52" i="90" s="1"/>
  <c r="D33" i="90" l="1"/>
  <c r="D37" i="90"/>
  <c r="D38" i="90"/>
  <c r="D36" i="90"/>
  <c r="D39" i="90"/>
  <c r="D35" i="90"/>
  <c r="D50" i="90"/>
  <c r="D40" i="90"/>
  <c r="D34" i="90"/>
  <c r="E51" i="91"/>
  <c r="E40" i="91"/>
  <c r="E39" i="91"/>
  <c r="E38" i="91"/>
  <c r="E37" i="91"/>
  <c r="E36" i="91"/>
  <c r="E35" i="91"/>
  <c r="E34" i="91"/>
  <c r="E33" i="91"/>
  <c r="G29" i="90"/>
  <c r="G28" i="90"/>
  <c r="F28" i="90"/>
  <c r="E28" i="90"/>
  <c r="D54" i="91"/>
  <c r="E29" i="90"/>
  <c r="F106" i="91"/>
  <c r="F61" i="91"/>
  <c r="F60" i="91"/>
  <c r="F59" i="91"/>
  <c r="F58" i="91"/>
  <c r="F57" i="91"/>
  <c r="F29" i="91"/>
  <c r="F28" i="91"/>
  <c r="F30" i="91" s="1"/>
  <c r="G105" i="90"/>
  <c r="G60" i="90"/>
  <c r="G59" i="90"/>
  <c r="G58" i="90"/>
  <c r="G57" i="90"/>
  <c r="G56" i="90"/>
  <c r="F105" i="90"/>
  <c r="F60" i="90"/>
  <c r="F59" i="90"/>
  <c r="F58" i="90"/>
  <c r="F57" i="90"/>
  <c r="F56" i="90"/>
  <c r="F29" i="90"/>
  <c r="F30" i="90" s="1"/>
  <c r="F33" i="90" s="1"/>
  <c r="E105" i="90"/>
  <c r="E60" i="90"/>
  <c r="E59" i="90"/>
  <c r="E58" i="90"/>
  <c r="E57" i="90"/>
  <c r="E56" i="90"/>
  <c r="E41" i="91" l="1"/>
  <c r="E52" i="91" s="1"/>
  <c r="E54" i="91" s="1"/>
  <c r="F61" i="90"/>
  <c r="F107" i="90" s="1"/>
  <c r="G30" i="90"/>
  <c r="G33" i="90" s="1"/>
  <c r="D41" i="90"/>
  <c r="D51" i="90" s="1"/>
  <c r="D53" i="90" s="1"/>
  <c r="F62" i="91"/>
  <c r="F108" i="91" s="1"/>
  <c r="G61" i="90"/>
  <c r="G107" i="90" s="1"/>
  <c r="E61" i="90"/>
  <c r="E107" i="90" s="1"/>
  <c r="F40" i="91"/>
  <c r="F39" i="91"/>
  <c r="F38" i="91"/>
  <c r="F37" i="91"/>
  <c r="F36" i="91"/>
  <c r="F35" i="91"/>
  <c r="F34" i="91"/>
  <c r="F33" i="91"/>
  <c r="G40" i="90"/>
  <c r="G39" i="90"/>
  <c r="G38" i="90"/>
  <c r="G37" i="90"/>
  <c r="G36" i="90"/>
  <c r="G35" i="90"/>
  <c r="G34" i="90"/>
  <c r="F40" i="90"/>
  <c r="F39" i="90"/>
  <c r="F38" i="90"/>
  <c r="F37" i="90"/>
  <c r="F36" i="90"/>
  <c r="F35" i="90"/>
  <c r="F34" i="90"/>
  <c r="D107" i="91"/>
  <c r="D80" i="91"/>
  <c r="D74" i="91"/>
  <c r="D75" i="91" s="1"/>
  <c r="E107" i="91"/>
  <c r="E80" i="91"/>
  <c r="E74" i="91"/>
  <c r="E75" i="91" s="1"/>
  <c r="E30" i="90"/>
  <c r="E33" i="90" s="1"/>
  <c r="F51" i="91"/>
  <c r="F50" i="90"/>
  <c r="G50" i="90"/>
  <c r="F41" i="91" l="1"/>
  <c r="F52" i="91" s="1"/>
  <c r="F54" i="91" s="1"/>
  <c r="E50" i="90"/>
  <c r="D106" i="90"/>
  <c r="D79" i="90"/>
  <c r="F41" i="90"/>
  <c r="F51" i="90" s="1"/>
  <c r="F53" i="90" s="1"/>
  <c r="G41" i="90"/>
  <c r="G51" i="90" s="1"/>
  <c r="G53" i="90" s="1"/>
  <c r="E40" i="90"/>
  <c r="E39" i="90"/>
  <c r="E38" i="90"/>
  <c r="E37" i="90"/>
  <c r="E36" i="90"/>
  <c r="E35" i="90"/>
  <c r="E34" i="90"/>
  <c r="E41" i="90" l="1"/>
  <c r="E51" i="90" s="1"/>
  <c r="E53" i="90" s="1"/>
  <c r="E106" i="90" s="1"/>
  <c r="F107" i="91"/>
  <c r="F80" i="91"/>
  <c r="F74" i="91"/>
  <c r="F75" i="91" s="1"/>
  <c r="F106" i="90"/>
  <c r="F79" i="90"/>
  <c r="G106" i="90"/>
  <c r="G79" i="90"/>
  <c r="E79" i="90" l="1"/>
  <c r="C103" i="88"/>
  <c r="C95" i="88"/>
  <c r="C75" i="88"/>
  <c r="C71" i="88"/>
  <c r="C79" i="88" s="1"/>
  <c r="C81" i="88" s="1"/>
  <c r="C41" i="88"/>
  <c r="C28" i="88"/>
  <c r="C30" i="88" s="1"/>
  <c r="E18" i="88"/>
  <c r="E25" i="88" l="1"/>
  <c r="E49" i="88"/>
  <c r="E53" i="88" s="1"/>
  <c r="D39" i="88" l="1"/>
  <c r="D38" i="88"/>
  <c r="F33" i="88"/>
  <c r="D37" i="88"/>
  <c r="D40" i="88"/>
  <c r="F40" i="88"/>
  <c r="D36" i="88"/>
  <c r="F39" i="88"/>
  <c r="D35" i="88"/>
  <c r="F35" i="88"/>
  <c r="F38" i="88"/>
  <c r="D34" i="88"/>
  <c r="D33" i="88"/>
  <c r="F36" i="88"/>
  <c r="F37" i="88"/>
  <c r="F34" i="88"/>
  <c r="E106" i="88"/>
  <c r="E61" i="88"/>
  <c r="E60" i="88"/>
  <c r="E59" i="88"/>
  <c r="E58" i="88"/>
  <c r="E57" i="88"/>
  <c r="E62" i="88" s="1"/>
  <c r="E108" i="88" s="1"/>
  <c r="E29" i="88"/>
  <c r="E28" i="88"/>
  <c r="E30" i="88" l="1"/>
  <c r="F41" i="88"/>
  <c r="F52" i="88" s="1"/>
  <c r="F54" i="88" s="1"/>
  <c r="D41" i="88"/>
  <c r="D52" i="88" s="1"/>
  <c r="D54" i="88" s="1"/>
  <c r="E51" i="88"/>
  <c r="E40" i="88"/>
  <c r="E39" i="88"/>
  <c r="E38" i="88"/>
  <c r="E37" i="88"/>
  <c r="E36" i="88"/>
  <c r="E35" i="88"/>
  <c r="E34" i="88"/>
  <c r="E33" i="88"/>
  <c r="E41" i="88" s="1"/>
  <c r="E52" i="88" s="1"/>
  <c r="D74" i="88" l="1"/>
  <c r="D75" i="88" s="1"/>
  <c r="D107" i="88"/>
  <c r="D80" i="88"/>
  <c r="F74" i="88"/>
  <c r="F75" i="88" s="1"/>
  <c r="F107" i="88"/>
  <c r="F80" i="88"/>
  <c r="E54" i="88"/>
  <c r="E107" i="88" l="1"/>
  <c r="E80" i="88"/>
  <c r="E74" i="88"/>
  <c r="E75" i="88" s="1"/>
  <c r="E74" i="83" l="1"/>
  <c r="C102" i="85" l="1"/>
  <c r="C94" i="85"/>
  <c r="E74" i="85"/>
  <c r="C70" i="85"/>
  <c r="C78" i="85" s="1"/>
  <c r="C80" i="85" s="1"/>
  <c r="C41" i="85"/>
  <c r="C28" i="85"/>
  <c r="C30" i="85" s="1"/>
  <c r="E18" i="85"/>
  <c r="C102" i="83"/>
  <c r="C94" i="83"/>
  <c r="C70" i="83"/>
  <c r="C78" i="83" s="1"/>
  <c r="C80" i="83" s="1"/>
  <c r="C41" i="83"/>
  <c r="C28" i="83"/>
  <c r="E18" i="83"/>
  <c r="C30" i="83" l="1"/>
  <c r="E25" i="85"/>
  <c r="E48" i="85"/>
  <c r="E52" i="85" s="1"/>
  <c r="E25" i="83"/>
  <c r="E48" i="83"/>
  <c r="E52" i="83" s="1"/>
  <c r="E105" i="85" l="1"/>
  <c r="E60" i="85"/>
  <c r="E59" i="85"/>
  <c r="E58" i="85"/>
  <c r="E57" i="85"/>
  <c r="E56" i="85"/>
  <c r="E61" i="85" s="1"/>
  <c r="E107" i="85" s="1"/>
  <c r="E29" i="85"/>
  <c r="E28" i="85"/>
  <c r="E30" i="85" s="1"/>
  <c r="E105" i="83"/>
  <c r="E60" i="83"/>
  <c r="E59" i="83"/>
  <c r="E58" i="83"/>
  <c r="E57" i="83"/>
  <c r="E56" i="83"/>
  <c r="E61" i="83" s="1"/>
  <c r="E107" i="83" s="1"/>
  <c r="E29" i="83"/>
  <c r="E28" i="83"/>
  <c r="E30" i="83" s="1"/>
  <c r="E50" i="85" l="1"/>
  <c r="E40" i="85"/>
  <c r="E39" i="85"/>
  <c r="E38" i="85"/>
  <c r="E37" i="85"/>
  <c r="E36" i="85"/>
  <c r="E35" i="85"/>
  <c r="E34" i="85"/>
  <c r="E33" i="85"/>
  <c r="E41" i="85" s="1"/>
  <c r="E51" i="85" s="1"/>
  <c r="E50" i="83"/>
  <c r="E40" i="83"/>
  <c r="E39" i="83"/>
  <c r="E38" i="83"/>
  <c r="E37" i="83"/>
  <c r="E36" i="83"/>
  <c r="E35" i="83"/>
  <c r="E34" i="83"/>
  <c r="E33" i="83"/>
  <c r="E41" i="83" s="1"/>
  <c r="E51" i="83" s="1"/>
  <c r="E53" i="85" l="1"/>
  <c r="E53" i="83"/>
  <c r="E106" i="85" l="1"/>
  <c r="E79" i="85"/>
  <c r="E106" i="83"/>
  <c r="E79" i="83"/>
  <c r="E84" i="95" l="1"/>
  <c r="D84" i="95"/>
  <c r="D84" i="85"/>
  <c r="E84" i="94"/>
  <c r="D84" i="94"/>
  <c r="D84" i="83"/>
  <c r="F85" i="88"/>
  <c r="D85" i="88"/>
  <c r="D85" i="93"/>
  <c r="G84" i="90"/>
  <c r="F84" i="90"/>
  <c r="E84" i="90"/>
  <c r="H84" i="90"/>
  <c r="H88" i="90" s="1"/>
  <c r="H109" i="90" s="1"/>
  <c r="D84" i="90"/>
  <c r="F85" i="91"/>
  <c r="E85" i="91"/>
  <c r="D85" i="91"/>
  <c r="E85" i="88"/>
  <c r="E84" i="83"/>
  <c r="E64" i="83" s="1"/>
  <c r="E84" i="85"/>
  <c r="E67" i="85" s="1"/>
  <c r="E69" i="83"/>
  <c r="E68" i="83"/>
  <c r="E67" i="83"/>
  <c r="E66" i="83"/>
  <c r="E65" i="83" l="1"/>
  <c r="E88" i="85"/>
  <c r="E66" i="85"/>
  <c r="E64" i="85"/>
  <c r="E65" i="85"/>
  <c r="E69" i="85"/>
  <c r="E68" i="85"/>
  <c r="E88" i="83"/>
  <c r="E109" i="83" s="1"/>
  <c r="E70" i="83"/>
  <c r="E78" i="83" s="1"/>
  <c r="E80" i="83" s="1"/>
  <c r="E81" i="83" s="1"/>
  <c r="E108" i="83" s="1"/>
  <c r="E89" i="88"/>
  <c r="E70" i="88"/>
  <c r="E69" i="88"/>
  <c r="E68" i="88"/>
  <c r="E67" i="88"/>
  <c r="E66" i="88"/>
  <c r="E65" i="88"/>
  <c r="D89" i="91"/>
  <c r="D70" i="91"/>
  <c r="D69" i="91"/>
  <c r="D68" i="91"/>
  <c r="D67" i="91"/>
  <c r="D66" i="91"/>
  <c r="D65" i="91"/>
  <c r="E89" i="91"/>
  <c r="E65" i="91"/>
  <c r="E70" i="91"/>
  <c r="E69" i="91"/>
  <c r="E68" i="91"/>
  <c r="E67" i="91"/>
  <c r="E66" i="91"/>
  <c r="F89" i="91"/>
  <c r="F70" i="91"/>
  <c r="F69" i="91"/>
  <c r="F68" i="91"/>
  <c r="F67" i="91"/>
  <c r="F66" i="91"/>
  <c r="F65" i="91"/>
  <c r="D88" i="90"/>
  <c r="D69" i="90"/>
  <c r="D68" i="90"/>
  <c r="D67" i="90"/>
  <c r="D66" i="90"/>
  <c r="D65" i="90"/>
  <c r="D64" i="90"/>
  <c r="E88" i="90"/>
  <c r="E69" i="90"/>
  <c r="E68" i="90"/>
  <c r="E67" i="90"/>
  <c r="E66" i="90"/>
  <c r="E65" i="90"/>
  <c r="E64" i="90"/>
  <c r="F88" i="90"/>
  <c r="F68" i="90"/>
  <c r="F69" i="90"/>
  <c r="F67" i="90"/>
  <c r="F66" i="90"/>
  <c r="F65" i="90"/>
  <c r="F64" i="90"/>
  <c r="G88" i="90"/>
  <c r="G68" i="90"/>
  <c r="G69" i="90"/>
  <c r="G67" i="90"/>
  <c r="G66" i="90"/>
  <c r="G65" i="90"/>
  <c r="G64" i="90"/>
  <c r="D89" i="93"/>
  <c r="D70" i="93"/>
  <c r="D69" i="93"/>
  <c r="D68" i="93"/>
  <c r="D67" i="93"/>
  <c r="D66" i="93"/>
  <c r="D65" i="93"/>
  <c r="D89" i="88"/>
  <c r="D70" i="88"/>
  <c r="D69" i="88"/>
  <c r="D68" i="88"/>
  <c r="D67" i="88"/>
  <c r="D66" i="88"/>
  <c r="D65" i="88"/>
  <c r="F89" i="88"/>
  <c r="F70" i="88"/>
  <c r="F69" i="88"/>
  <c r="F68" i="88"/>
  <c r="F67" i="88"/>
  <c r="F66" i="88"/>
  <c r="F65" i="88"/>
  <c r="D88" i="83"/>
  <c r="D69" i="83"/>
  <c r="D68" i="83"/>
  <c r="D67" i="83"/>
  <c r="D66" i="83"/>
  <c r="D65" i="83"/>
  <c r="D64" i="83"/>
  <c r="D88" i="94"/>
  <c r="D69" i="94"/>
  <c r="D68" i="94"/>
  <c r="D67" i="94"/>
  <c r="D66" i="94"/>
  <c r="D65" i="94"/>
  <c r="D64" i="94"/>
  <c r="E88" i="94"/>
  <c r="E69" i="94"/>
  <c r="E68" i="94"/>
  <c r="E67" i="94"/>
  <c r="E66" i="94"/>
  <c r="E65" i="94"/>
  <c r="E64" i="94"/>
  <c r="D88" i="85"/>
  <c r="D69" i="85"/>
  <c r="D68" i="85"/>
  <c r="D67" i="85"/>
  <c r="D66" i="85"/>
  <c r="D65" i="85"/>
  <c r="D64" i="85"/>
  <c r="D88" i="95"/>
  <c r="D69" i="95"/>
  <c r="D68" i="95"/>
  <c r="D67" i="95"/>
  <c r="D66" i="95"/>
  <c r="D65" i="95"/>
  <c r="D64" i="95"/>
  <c r="E88" i="95"/>
  <c r="E69" i="95"/>
  <c r="E68" i="95"/>
  <c r="E67" i="95"/>
  <c r="E66" i="95"/>
  <c r="E65" i="95"/>
  <c r="E64" i="95"/>
  <c r="E109" i="85"/>
  <c r="E110" i="83" l="1"/>
  <c r="E89" i="83"/>
  <c r="E92" i="83" s="1"/>
  <c r="E93" i="83" s="1"/>
  <c r="D71" i="88"/>
  <c r="D79" i="88" s="1"/>
  <c r="D81" i="88" s="1"/>
  <c r="D82" i="88" s="1"/>
  <c r="D109" i="88" s="1"/>
  <c r="D70" i="85"/>
  <c r="D78" i="85" s="1"/>
  <c r="D80" i="85" s="1"/>
  <c r="D81" i="85" s="1"/>
  <c r="D108" i="85" s="1"/>
  <c r="D70" i="94"/>
  <c r="D78" i="94" s="1"/>
  <c r="D80" i="94" s="1"/>
  <c r="D81" i="94" s="1"/>
  <c r="D108" i="94" s="1"/>
  <c r="E71" i="88"/>
  <c r="E79" i="88" s="1"/>
  <c r="E81" i="88" s="1"/>
  <c r="E82" i="88" s="1"/>
  <c r="E109" i="88" s="1"/>
  <c r="E70" i="85"/>
  <c r="E78" i="85" s="1"/>
  <c r="E80" i="85" s="1"/>
  <c r="E81" i="85" s="1"/>
  <c r="E70" i="90"/>
  <c r="E78" i="90" s="1"/>
  <c r="E80" i="90" s="1"/>
  <c r="E81" i="90" s="1"/>
  <c r="E108" i="90" s="1"/>
  <c r="E70" i="95"/>
  <c r="E78" i="95" s="1"/>
  <c r="E80" i="95" s="1"/>
  <c r="E81" i="95" s="1"/>
  <c r="E108" i="95" s="1"/>
  <c r="D70" i="95"/>
  <c r="D78" i="95" s="1"/>
  <c r="D80" i="95" s="1"/>
  <c r="D81" i="95" s="1"/>
  <c r="D108" i="95" s="1"/>
  <c r="E70" i="94"/>
  <c r="E78" i="94" s="1"/>
  <c r="E80" i="94" s="1"/>
  <c r="E81" i="94" s="1"/>
  <c r="E108" i="94" s="1"/>
  <c r="D70" i="83"/>
  <c r="D78" i="83" s="1"/>
  <c r="D80" i="83" s="1"/>
  <c r="D81" i="83" s="1"/>
  <c r="D108" i="83" s="1"/>
  <c r="D71" i="93"/>
  <c r="D79" i="93" s="1"/>
  <c r="D81" i="93" s="1"/>
  <c r="D82" i="93" s="1"/>
  <c r="D109" i="93" s="1"/>
  <c r="F71" i="88"/>
  <c r="F79" i="88" s="1"/>
  <c r="F81" i="88" s="1"/>
  <c r="F82" i="88" s="1"/>
  <c r="F109" i="88" s="1"/>
  <c r="F71" i="91"/>
  <c r="F79" i="91" s="1"/>
  <c r="F81" i="91" s="1"/>
  <c r="F82" i="91" s="1"/>
  <c r="F109" i="91" s="1"/>
  <c r="D71" i="91"/>
  <c r="D79" i="91" s="1"/>
  <c r="D81" i="91" s="1"/>
  <c r="D82" i="91" s="1"/>
  <c r="D109" i="91" s="1"/>
  <c r="G70" i="90"/>
  <c r="G78" i="90" s="1"/>
  <c r="G80" i="90" s="1"/>
  <c r="G81" i="90" s="1"/>
  <c r="G108" i="90" s="1"/>
  <c r="F70" i="90"/>
  <c r="F78" i="90" s="1"/>
  <c r="F80" i="90" s="1"/>
  <c r="F81" i="90" s="1"/>
  <c r="F108" i="90" s="1"/>
  <c r="D70" i="90"/>
  <c r="D78" i="90" s="1"/>
  <c r="D80" i="90" s="1"/>
  <c r="D81" i="90" s="1"/>
  <c r="D108" i="90" s="1"/>
  <c r="E109" i="95"/>
  <c r="D109" i="95"/>
  <c r="D109" i="85"/>
  <c r="D89" i="85"/>
  <c r="E109" i="94"/>
  <c r="D109" i="94"/>
  <c r="D109" i="83"/>
  <c r="F110" i="88"/>
  <c r="D110" i="88"/>
  <c r="D110" i="93"/>
  <c r="G109" i="90"/>
  <c r="F109" i="90"/>
  <c r="E109" i="90"/>
  <c r="D109" i="90"/>
  <c r="F110" i="91"/>
  <c r="E71" i="91"/>
  <c r="E79" i="91" s="1"/>
  <c r="E81" i="91" s="1"/>
  <c r="E82" i="91" s="1"/>
  <c r="E109" i="91" s="1"/>
  <c r="E110" i="91"/>
  <c r="D110" i="91"/>
  <c r="E110" i="88"/>
  <c r="D110" i="85" l="1"/>
  <c r="D90" i="88"/>
  <c r="D93" i="88" s="1"/>
  <c r="D94" i="88" s="1"/>
  <c r="D111" i="88"/>
  <c r="F90" i="88"/>
  <c r="F93" i="88" s="1"/>
  <c r="F94" i="88" s="1"/>
  <c r="G110" i="90"/>
  <c r="E111" i="88"/>
  <c r="F90" i="91"/>
  <c r="F93" i="91" s="1"/>
  <c r="D89" i="94"/>
  <c r="D92" i="94" s="1"/>
  <c r="D93" i="94" s="1"/>
  <c r="D94" i="94" s="1"/>
  <c r="D95" i="94" s="1"/>
  <c r="E110" i="94"/>
  <c r="F111" i="88"/>
  <c r="F111" i="91"/>
  <c r="D110" i="95"/>
  <c r="E108" i="85"/>
  <c r="E110" i="85" s="1"/>
  <c r="E89" i="85"/>
  <c r="E92" i="85" s="1"/>
  <c r="E93" i="85" s="1"/>
  <c r="D90" i="93"/>
  <c r="D93" i="93" s="1"/>
  <c r="D94" i="93" s="1"/>
  <c r="D95" i="93" s="1"/>
  <c r="D96" i="93" s="1"/>
  <c r="E110" i="95"/>
  <c r="D89" i="83"/>
  <c r="D92" i="83" s="1"/>
  <c r="D93" i="83" s="1"/>
  <c r="E89" i="95"/>
  <c r="E92" i="95" s="1"/>
  <c r="E93" i="95" s="1"/>
  <c r="E94" i="95" s="1"/>
  <c r="E95" i="95" s="1"/>
  <c r="E110" i="90"/>
  <c r="F89" i="90"/>
  <c r="F92" i="90" s="1"/>
  <c r="F93" i="90" s="1"/>
  <c r="F94" i="90" s="1"/>
  <c r="F95" i="90" s="1"/>
  <c r="D111" i="93"/>
  <c r="E89" i="90"/>
  <c r="E92" i="90" s="1"/>
  <c r="E93" i="90" s="1"/>
  <c r="E94" i="90" s="1"/>
  <c r="E95" i="90" s="1"/>
  <c r="D110" i="83"/>
  <c r="F110" i="90"/>
  <c r="D110" i="94"/>
  <c r="E90" i="88"/>
  <c r="E93" i="88" s="1"/>
  <c r="E94" i="88" s="1"/>
  <c r="E95" i="88" s="1"/>
  <c r="E96" i="88" s="1"/>
  <c r="G89" i="90"/>
  <c r="G92" i="90" s="1"/>
  <c r="G93" i="90" s="1"/>
  <c r="G94" i="90" s="1"/>
  <c r="G95" i="90" s="1"/>
  <c r="E89" i="94"/>
  <c r="E92" i="94" s="1"/>
  <c r="E93" i="94" s="1"/>
  <c r="E94" i="94" s="1"/>
  <c r="E95" i="94" s="1"/>
  <c r="D90" i="91"/>
  <c r="D93" i="91" s="1"/>
  <c r="D94" i="91" s="1"/>
  <c r="D95" i="91" s="1"/>
  <c r="D96" i="91" s="1"/>
  <c r="D111" i="91"/>
  <c r="D89" i="95"/>
  <c r="D92" i="95" s="1"/>
  <c r="D93" i="95" s="1"/>
  <c r="D94" i="95" s="1"/>
  <c r="D95" i="95" s="1"/>
  <c r="E90" i="91"/>
  <c r="E93" i="91" s="1"/>
  <c r="E94" i="91" s="1"/>
  <c r="E95" i="91" s="1"/>
  <c r="E96" i="91" s="1"/>
  <c r="D89" i="90"/>
  <c r="D92" i="90" s="1"/>
  <c r="D93" i="90" s="1"/>
  <c r="D94" i="90" s="1"/>
  <c r="D95" i="90" s="1"/>
  <c r="D110" i="90"/>
  <c r="E94" i="83"/>
  <c r="E95" i="83" s="1"/>
  <c r="E101" i="83" s="1"/>
  <c r="E111" i="91"/>
  <c r="D92" i="85"/>
  <c r="D93" i="85" s="1"/>
  <c r="E94" i="85" l="1"/>
  <c r="E95" i="85" s="1"/>
  <c r="E101" i="85" s="1"/>
  <c r="D94" i="85"/>
  <c r="D95" i="85" s="1"/>
  <c r="D97" i="85" s="1"/>
  <c r="D94" i="83"/>
  <c r="D95" i="83" s="1"/>
  <c r="D98" i="83" s="1"/>
  <c r="E97" i="83"/>
  <c r="E98" i="83"/>
  <c r="D95" i="88"/>
  <c r="D96" i="88" s="1"/>
  <c r="D102" i="88" s="1"/>
  <c r="F95" i="88"/>
  <c r="F96" i="88" s="1"/>
  <c r="F98" i="88" s="1"/>
  <c r="F94" i="91"/>
  <c r="F95" i="91" s="1"/>
  <c r="F96" i="91" s="1"/>
  <c r="E101" i="95"/>
  <c r="E98" i="95"/>
  <c r="E97" i="95"/>
  <c r="D101" i="95"/>
  <c r="D98" i="95"/>
  <c r="D97" i="95"/>
  <c r="E101" i="94"/>
  <c r="E98" i="94"/>
  <c r="E97" i="94"/>
  <c r="D101" i="94"/>
  <c r="D98" i="94"/>
  <c r="D97" i="94"/>
  <c r="D101" i="83"/>
  <c r="D102" i="93"/>
  <c r="D99" i="93"/>
  <c r="D98" i="93"/>
  <c r="G101" i="90"/>
  <c r="G98" i="90"/>
  <c r="G97" i="90"/>
  <c r="F101" i="90"/>
  <c r="F98" i="90"/>
  <c r="F97" i="90"/>
  <c r="F102" i="90" s="1"/>
  <c r="F103" i="90" s="1"/>
  <c r="F111" i="90" s="1"/>
  <c r="F112" i="90" s="1"/>
  <c r="C29" i="87" s="1"/>
  <c r="E101" i="90"/>
  <c r="E98" i="90"/>
  <c r="E97" i="90"/>
  <c r="D101" i="90"/>
  <c r="D98" i="90"/>
  <c r="D97" i="90"/>
  <c r="E102" i="91"/>
  <c r="E99" i="91"/>
  <c r="E98" i="91"/>
  <c r="D102" i="91"/>
  <c r="D99" i="91"/>
  <c r="D98" i="91"/>
  <c r="E102" i="88"/>
  <c r="E99" i="88"/>
  <c r="E98" i="88"/>
  <c r="D13" i="2"/>
  <c r="D12" i="2"/>
  <c r="D11" i="2"/>
  <c r="D10" i="2"/>
  <c r="D9" i="2"/>
  <c r="D8" i="2"/>
  <c r="E98" i="85" l="1"/>
  <c r="D103" i="91"/>
  <c r="D104" i="91" s="1"/>
  <c r="D112" i="91" s="1"/>
  <c r="D113" i="91" s="1"/>
  <c r="C15" i="87" s="1"/>
  <c r="F15" i="87" s="1"/>
  <c r="G15" i="87" s="1"/>
  <c r="H15" i="87" s="1"/>
  <c r="E97" i="85"/>
  <c r="E102" i="85" s="1"/>
  <c r="E103" i="85" s="1"/>
  <c r="E111" i="85" s="1"/>
  <c r="E112" i="85" s="1"/>
  <c r="C33" i="87" s="1"/>
  <c r="F33" i="87" s="1"/>
  <c r="G33" i="87" s="1"/>
  <c r="H33" i="87" s="1"/>
  <c r="E103" i="91"/>
  <c r="E104" i="91" s="1"/>
  <c r="E112" i="91" s="1"/>
  <c r="E113" i="91" s="1"/>
  <c r="C23" i="87" s="1"/>
  <c r="F23" i="87" s="1"/>
  <c r="G23" i="87" s="1"/>
  <c r="H23" i="87" s="1"/>
  <c r="E102" i="94"/>
  <c r="E103" i="94" s="1"/>
  <c r="E111" i="94" s="1"/>
  <c r="E112" i="94" s="1"/>
  <c r="C32" i="87" s="1"/>
  <c r="F32" i="87" s="1"/>
  <c r="G32" i="87" s="1"/>
  <c r="H32" i="87" s="1"/>
  <c r="G102" i="90"/>
  <c r="G103" i="90" s="1"/>
  <c r="G111" i="90" s="1"/>
  <c r="G112" i="90" s="1"/>
  <c r="C36" i="87" s="1"/>
  <c r="F36" i="87" s="1"/>
  <c r="G36" i="87" s="1"/>
  <c r="H36" i="87" s="1"/>
  <c r="D102" i="94"/>
  <c r="D103" i="94" s="1"/>
  <c r="D111" i="94" s="1"/>
  <c r="D112" i="94" s="1"/>
  <c r="C25" i="87" s="1"/>
  <c r="E102" i="95"/>
  <c r="E103" i="95" s="1"/>
  <c r="E111" i="95" s="1"/>
  <c r="E112" i="95" s="1"/>
  <c r="C34" i="87" s="1"/>
  <c r="D101" i="85"/>
  <c r="D98" i="85"/>
  <c r="D97" i="83"/>
  <c r="D102" i="83" s="1"/>
  <c r="D103" i="83" s="1"/>
  <c r="D111" i="83" s="1"/>
  <c r="D112" i="83" s="1"/>
  <c r="C24" i="87" s="1"/>
  <c r="E103" i="88"/>
  <c r="E104" i="88" s="1"/>
  <c r="E112" i="88" s="1"/>
  <c r="E113" i="88" s="1"/>
  <c r="C37" i="87" s="1"/>
  <c r="D98" i="88"/>
  <c r="D102" i="90"/>
  <c r="D103" i="90" s="1"/>
  <c r="D111" i="90" s="1"/>
  <c r="D112" i="90" s="1"/>
  <c r="C14" i="87" s="1"/>
  <c r="D99" i="88"/>
  <c r="D103" i="93"/>
  <c r="D104" i="93" s="1"/>
  <c r="D112" i="93" s="1"/>
  <c r="D113" i="93" s="1"/>
  <c r="C17" i="87" s="1"/>
  <c r="F99" i="88"/>
  <c r="F102" i="88"/>
  <c r="D102" i="95"/>
  <c r="D103" i="95" s="1"/>
  <c r="D111" i="95" s="1"/>
  <c r="D112" i="95" s="1"/>
  <c r="C27" i="87" s="1"/>
  <c r="E102" i="83"/>
  <c r="E103" i="83" s="1"/>
  <c r="E111" i="83" s="1"/>
  <c r="E112" i="83" s="1"/>
  <c r="C31" i="87" s="1"/>
  <c r="E102" i="90"/>
  <c r="E103" i="90" s="1"/>
  <c r="E111" i="90" s="1"/>
  <c r="E112" i="90" s="1"/>
  <c r="C22" i="87" s="1"/>
  <c r="F102" i="91"/>
  <c r="F99" i="91"/>
  <c r="F98" i="91"/>
  <c r="F29" i="87"/>
  <c r="G29" i="87" s="1"/>
  <c r="H29" i="87" s="1"/>
  <c r="H30" i="90"/>
  <c r="H33" i="90" s="1"/>
  <c r="F7" i="87" l="1"/>
  <c r="G7" i="87" s="1"/>
  <c r="H7" i="87" s="1"/>
  <c r="F27" i="87"/>
  <c r="G27" i="87" s="1"/>
  <c r="H27" i="87" s="1"/>
  <c r="F25" i="87"/>
  <c r="G25" i="87" s="1"/>
  <c r="H25" i="87" s="1"/>
  <c r="F103" i="88"/>
  <c r="F104" i="88" s="1"/>
  <c r="F112" i="88" s="1"/>
  <c r="F113" i="88" s="1"/>
  <c r="C20" i="87" s="1"/>
  <c r="F24" i="87"/>
  <c r="G24" i="87" s="1"/>
  <c r="H24" i="87" s="1"/>
  <c r="F22" i="87"/>
  <c r="G22" i="87" s="1"/>
  <c r="H22" i="87" s="1"/>
  <c r="F17" i="87"/>
  <c r="G17" i="87" s="1"/>
  <c r="H17" i="87" s="1"/>
  <c r="F37" i="87"/>
  <c r="G37" i="87" s="1"/>
  <c r="H37" i="87" s="1"/>
  <c r="F31" i="87"/>
  <c r="G31" i="87" s="1"/>
  <c r="H31" i="87" s="1"/>
  <c r="F34" i="87"/>
  <c r="G34" i="87" s="1"/>
  <c r="H34" i="87" s="1"/>
  <c r="D102" i="85"/>
  <c r="D103" i="85" s="1"/>
  <c r="D111" i="85" s="1"/>
  <c r="D112" i="85" s="1"/>
  <c r="F103" i="91"/>
  <c r="F104" i="91" s="1"/>
  <c r="F112" i="91" s="1"/>
  <c r="F113" i="91" s="1"/>
  <c r="C30" i="87" s="1"/>
  <c r="D103" i="88"/>
  <c r="D104" i="88" s="1"/>
  <c r="D112" i="88" s="1"/>
  <c r="D113" i="88" s="1"/>
  <c r="C16" i="87" s="1"/>
  <c r="H40" i="90"/>
  <c r="H39" i="90"/>
  <c r="H38" i="90"/>
  <c r="H37" i="90"/>
  <c r="H36" i="90"/>
  <c r="H35" i="90"/>
  <c r="H34" i="90"/>
  <c r="H50" i="90"/>
  <c r="H41" i="90" l="1"/>
  <c r="H51" i="90" s="1"/>
  <c r="F5" i="87"/>
  <c r="G5" i="87" s="1"/>
  <c r="H5" i="87" s="1"/>
  <c r="C26" i="87"/>
  <c r="F30" i="87"/>
  <c r="G30" i="87" s="1"/>
  <c r="H30" i="87" s="1"/>
  <c r="F6" i="87"/>
  <c r="G6" i="87" s="1"/>
  <c r="H6" i="87" s="1"/>
  <c r="F3" i="87"/>
  <c r="G3" i="87" s="1"/>
  <c r="H3" i="87" s="1"/>
  <c r="F16" i="87"/>
  <c r="G16" i="87" s="1"/>
  <c r="H16" i="87" s="1"/>
  <c r="F20" i="87"/>
  <c r="G20" i="87" s="1"/>
  <c r="H20" i="87" s="1"/>
  <c r="F26" i="87"/>
  <c r="G26" i="87" s="1"/>
  <c r="H26" i="87" s="1"/>
  <c r="H53" i="90"/>
  <c r="H106" i="90" l="1"/>
  <c r="H79" i="90"/>
  <c r="H69" i="90"/>
  <c r="H68" i="90"/>
  <c r="H67" i="90"/>
  <c r="H66" i="90"/>
  <c r="H65" i="90"/>
  <c r="H64" i="90"/>
  <c r="H70" i="90" l="1"/>
  <c r="H78" i="90" s="1"/>
  <c r="H80" i="90" s="1"/>
  <c r="H81" i="90" s="1"/>
  <c r="H89" i="90" s="1"/>
  <c r="H108" i="90" l="1"/>
  <c r="H110" i="90" s="1"/>
  <c r="H92" i="90"/>
  <c r="H93" i="90" s="1"/>
  <c r="H94" i="90" l="1"/>
  <c r="H95" i="90" s="1"/>
  <c r="H101" i="90" s="1"/>
  <c r="H97" i="90" l="1"/>
  <c r="H98" i="90"/>
  <c r="F14" i="87"/>
  <c r="G14" i="87" s="1"/>
  <c r="H14" i="87" s="1"/>
  <c r="H102" i="90" l="1"/>
  <c r="H103" i="90" s="1"/>
  <c r="H111" i="90" s="1"/>
  <c r="H112" i="90" s="1"/>
  <c r="C19" i="87" s="1"/>
  <c r="F19" i="87" s="1"/>
  <c r="G19" i="87" s="1"/>
  <c r="H19" i="87" s="1"/>
  <c r="H38" i="87" s="1"/>
  <c r="F4" i="87" l="1"/>
  <c r="G4" i="87" s="1"/>
  <c r="H4" i="87" s="1"/>
  <c r="H8" i="87" s="1"/>
</calcChain>
</file>

<file path=xl/sharedStrings.xml><?xml version="1.0" encoding="utf-8"?>
<sst xmlns="http://schemas.openxmlformats.org/spreadsheetml/2006/main" count="1918" uniqueCount="313">
  <si>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</si>
  <si>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</si>
  <si>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</si>
  <si>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</si>
  <si>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</si>
  <si>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</si>
  <si>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</si>
  <si>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</si>
  <si>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</si>
  <si>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</si>
  <si>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</si>
  <si>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</si>
  <si>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</si>
  <si>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</si>
  <si>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</si>
  <si>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</si>
  <si>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</si>
  <si>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</si>
  <si>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</si>
  <si>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</si>
  <si>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</si>
  <si>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</si>
  <si>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</si>
  <si>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</si>
  <si>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</si>
  <si>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</si>
  <si>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</si>
  <si>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</si>
  <si>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</si>
  <si>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</si>
  <si>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</si>
  <si>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</si>
  <si>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</si>
  <si>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</si>
  <si>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</si>
  <si>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</si>
  <si>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</si>
  <si>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</si>
  <si>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</si>
  <si>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</si>
  <si>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</si>
  <si>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</si>
  <si>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</si>
  <si>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</si>
  <si>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</si>
  <si>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</si>
  <si>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</si>
  <si>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</si>
  <si>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</si>
  <si>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</si>
  <si>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</si>
  <si>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</si>
  <si>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</si>
  <si>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</si>
  <si>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</si>
  <si>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</si>
  <si>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</si>
  <si>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</si>
  <si>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</si>
  <si>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</si>
  <si>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</si>
  <si>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</si>
  <si>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</si>
  <si>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</si>
  <si>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</si>
  <si>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</si>
  <si>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</si>
  <si>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</si>
  <si>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</si>
  <si>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</si>
  <si>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</si>
  <si>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</si>
  <si>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</si>
  <si>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</si>
  <si>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</si>
  <si>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</si>
  <si>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</si>
  <si>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</si>
  <si>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</si>
  <si>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</si>
  <si>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</si>
  <si>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</si>
  <si>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</si>
  <si>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</si>
  <si>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</si>
  <si>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</si>
  <si>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</si>
  <si>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</si>
  <si>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</si>
  <si>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</si>
  <si>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</si>
  <si>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</si>
  <si>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</si>
  <si>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</si>
  <si>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</si>
  <si>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</si>
  <si>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</si>
  <si>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</si>
  <si>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</si>
  <si>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</si>
  <si>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</si>
  <si>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</si>
  <si>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</si>
  <si>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</si>
  <si>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</si>
  <si>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</si>
  <si>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</si>
  <si>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</si>
  <si>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</si>
  <si>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</si>
  <si>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</si>
  <si>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</si>
  <si>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</si>
  <si>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</si>
  <si>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</si>
  <si>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</si>
  <si>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</si>
  <si>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</si>
  <si>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</si>
  <si>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</si>
  <si>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</si>
  <si>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</si>
  <si>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</si>
  <si>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</si>
  <si>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</si>
  <si>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</si>
  <si>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</si>
  <si>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</si>
  <si>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</si>
  <si>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</si>
  <si>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 xml:space="preserve">C1-A  (PIS 0,65)   </t>
  </si>
  <si>
    <t>C1. B  (COFINS 3,0)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</si>
  <si>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</si>
  <si>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</si>
  <si>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</si>
  <si>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</si>
  <si>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</si>
  <si>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</si>
  <si>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</si>
  <si>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</si>
  <si>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</si>
  <si>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</si>
  <si>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 xml:space="preserve">C3-A (ISS 5,0) </t>
  </si>
  <si>
    <r>
      <t>N</t>
    </r>
    <r>
      <rPr>
        <strike/>
        <sz val="12"/>
        <rFont val="Calibri"/>
        <family val="2"/>
        <scheme val="minor"/>
      </rPr>
      <t>º</t>
    </r>
    <r>
      <rPr>
        <sz val="12"/>
        <rFont val="Calibri"/>
        <family val="2"/>
        <scheme val="minor"/>
      </rPr>
      <t xml:space="preserve"> de meses de execução contratual</t>
    </r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</si>
  <si>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</si>
  <si>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</si>
  <si>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</si>
  <si>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</si>
  <si>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</si>
  <si>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</si>
  <si>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</si>
  <si>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</si>
  <si>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</si>
  <si>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</si>
  <si>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</si>
  <si>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</si>
  <si>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</si>
  <si>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</si>
  <si>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</si>
  <si>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</si>
  <si>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</si>
  <si>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</si>
  <si>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</si>
  <si>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</si>
  <si>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</si>
  <si>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</si>
  <si>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</si>
  <si>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</si>
  <si>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</si>
  <si>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</si>
  <si>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</si>
  <si>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</si>
  <si>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</si>
  <si>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</si>
  <si>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</si>
  <si>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</si>
  <si>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</si>
  <si>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</si>
  <si>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</si>
  <si>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</si>
  <si>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</si>
  <si>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</si>
  <si>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</si>
  <si>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</si>
  <si>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</si>
  <si>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</si>
  <si>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</si>
  <si>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</si>
  <si>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</si>
  <si>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</si>
  <si>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</si>
  <si>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</si>
  <si>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</si>
  <si>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</si>
  <si>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</si>
  <si>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</si>
  <si>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</si>
  <si>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</si>
  <si>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</si>
  <si>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</si>
  <si>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</si>
  <si>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</si>
  <si>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</si>
  <si>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</si>
  <si>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</si>
  <si>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</si>
  <si>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r>
      <rPr>
        <b/>
        <sz val="12"/>
        <rFont val="Calibri"/>
        <family val="2"/>
        <scheme val="minor"/>
      </rPr>
      <t>INSS</t>
    </r>
    <r>
      <rPr>
        <sz val="12"/>
        <rFont val="Calibri"/>
        <family val="2"/>
        <scheme val="minor"/>
      </rPr>
      <t xml:space="preserve"> (20%)</t>
    </r>
  </si>
  <si>
    <r>
      <rPr>
        <b/>
        <sz val="12"/>
        <rFont val="Calibri"/>
        <family val="2"/>
        <scheme val="minor"/>
      </rPr>
      <t>SESI OU SESC</t>
    </r>
    <r>
      <rPr>
        <sz val="12"/>
        <rFont val="Calibri"/>
        <family val="2"/>
        <scheme val="minor"/>
      </rPr>
      <t xml:space="preserve"> (1,5%)</t>
    </r>
  </si>
  <si>
    <r>
      <rPr>
        <b/>
        <sz val="12"/>
        <rFont val="Calibri"/>
        <family val="2"/>
        <scheme val="minor"/>
      </rPr>
      <t>SENAI OU SENAC</t>
    </r>
    <r>
      <rPr>
        <sz val="12"/>
        <rFont val="Calibri"/>
        <family val="2"/>
        <scheme val="minor"/>
      </rPr>
      <t xml:space="preserve"> (1,0%)</t>
    </r>
  </si>
  <si>
    <r>
      <rPr>
        <b/>
        <sz val="12"/>
        <rFont val="Calibri"/>
        <family val="2"/>
        <scheme val="minor"/>
      </rPr>
      <t xml:space="preserve">INCRA </t>
    </r>
    <r>
      <rPr>
        <sz val="12"/>
        <rFont val="Calibri"/>
        <family val="2"/>
        <scheme val="minor"/>
      </rPr>
      <t>(0,20% ou  2,7%) - IN nº971, MPS/SRP/2009, Anexo I e II ver código da Tabela</t>
    </r>
  </si>
  <si>
    <r>
      <rPr>
        <b/>
        <sz val="12"/>
        <rFont val="Calibri"/>
        <family val="2"/>
        <scheme val="minor"/>
      </rPr>
      <t>SALÁRIO EDUCAÇÃO</t>
    </r>
    <r>
      <rPr>
        <sz val="12"/>
        <rFont val="Calibri"/>
        <family val="2"/>
        <scheme val="minor"/>
      </rPr>
      <t xml:space="preserve"> (2,5%)</t>
    </r>
  </si>
  <si>
    <t xml:space="preserve">FGTS (8,0%) </t>
  </si>
  <si>
    <r>
      <rPr>
        <b/>
        <sz val="12"/>
        <rFont val="Calibri"/>
        <family val="2"/>
        <scheme val="minor"/>
      </rPr>
      <t>RAT X SAT (Conforme GFIP)</t>
    </r>
    <r>
      <rPr>
        <sz val="12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</si>
  <si>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</si>
  <si>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</si>
  <si>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</si>
  <si>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</si>
  <si>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</si>
  <si>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</si>
  <si>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</si>
  <si>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</si>
  <si>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</si>
  <si>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</si>
  <si>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</si>
  <si>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</si>
  <si>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</si>
  <si>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</si>
  <si>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</si>
  <si>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</si>
  <si>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</si>
  <si>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</si>
  <si>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</si>
  <si>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</si>
  <si>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</si>
  <si>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Ambulância Tipo D</t>
  </si>
  <si>
    <t>Enfermeiro - Noturno</t>
  </si>
  <si>
    <t>Médico - Noturno</t>
  </si>
  <si>
    <t>Técnico em enfermagem - Diurno</t>
  </si>
  <si>
    <t>Ambulância Tipo B</t>
  </si>
  <si>
    <t>Ambulancia de Suporte Avançado tipo "D"</t>
  </si>
  <si>
    <t xml:space="preserve">TOTAL MENSAL POR  FUNCIONÁRIO  JP-II - AMBULANCIA TIPO "B" </t>
  </si>
  <si>
    <t xml:space="preserve">TOTAL MENSAL POR  FUNCIONÁRIO  JP-II - AMBULANCIA TIPO "D" </t>
  </si>
  <si>
    <t>TOTAL MENSAL POR  FUNCIONÁRIO SAMD - AMBULANCIA TIPO "B"</t>
  </si>
  <si>
    <t>TOTAL MENSAL POR  FUNCIONÁRIO  JP-II - AMBULANCIA TIPO "B"</t>
  </si>
  <si>
    <t>40% * 1.412,00</t>
  </si>
  <si>
    <t xml:space="preserve">Técnico em enfermagem - Noturno </t>
  </si>
  <si>
    <t>INFORMAÇÃO: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</si>
  <si>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</si>
  <si>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</si>
  <si>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</si>
  <si>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</si>
  <si>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</si>
  <si>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</si>
  <si>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</si>
  <si>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</si>
  <si>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</si>
  <si>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</si>
  <si>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ITEM</t>
  </si>
  <si>
    <t>DEFINIÇÃO/CLASSIFICAÇÃO DOS VEÍCULO/AMBULÂNCIA</t>
  </si>
  <si>
    <t>UNIDADE</t>
  </si>
  <si>
    <t>QUANTIDADE</t>
  </si>
  <si>
    <t xml:space="preserve">VALOR UNITÁRIO (R$) </t>
  </si>
  <si>
    <t>LOTE IV - HOSPITAL ESTADUAL E PRONTO SOCORRO JOÃO PAULO II-HEPSJP II, ASSISTÊNCIA MÉDICA INTENSIVA-AMI E SERVIÇO DE ATENDIMENTO MULTIDISCIPLINAR DOMICILIAR-SAMD</t>
  </si>
  <si>
    <t>Motorista - Diurno</t>
  </si>
  <si>
    <t>VALOR TOTAL (R$) - LOTE IV:</t>
  </si>
  <si>
    <t>JP-II  - TIPO "B"</t>
  </si>
  <si>
    <t>AMI - TIPO "D"</t>
  </si>
  <si>
    <t>SAMD TIPO "B"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</si>
  <si>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</si>
  <si>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</si>
  <si>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</si>
  <si>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>LEI Nº 14.434/2022</t>
  </si>
  <si>
    <t>Técnico de Enfermagem - Diurno</t>
  </si>
  <si>
    <t>Técnico de Enfermagem - Noturno</t>
  </si>
  <si>
    <t xml:space="preserve">Médico - Diurno </t>
  </si>
  <si>
    <t>JP-II - TIPO "D"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</si>
  <si>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</si>
  <si>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</si>
  <si>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</si>
  <si>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</si>
  <si>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</si>
  <si>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</si>
  <si>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</si>
  <si>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</si>
  <si>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RO000094/2024</t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</si>
  <si>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</si>
  <si>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t>CARGA
HORÁRIA</t>
  </si>
  <si>
    <t>VALOR TOTAL MENSAL (R$)</t>
  </si>
  <si>
    <t>VALOR TOTAL ANUAL (R$)</t>
  </si>
  <si>
    <t>24 horas/dia
(7 dias por
semana)</t>
  </si>
  <si>
    <t xml:space="preserve">24 horas/dia
(7 dias por
semana)
</t>
  </si>
  <si>
    <t>12 horas/dia
Das
07h00min às
19h00min (5
dias por
semana
segunda-feira
à sexta-feira)</t>
  </si>
  <si>
    <t xml:space="preserve">12 horas/dia
Das
07h00min às
19h00min (7
dias por
semana)
</t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</si>
  <si>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color rgb="FF000000"/>
        <rFont val="Calibri"/>
        <family val="2"/>
        <scheme val="minor"/>
      </rPr>
      <t> (ASSISTÊNCIA MÉDICA INTENSIVA 24H - AMI)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</si>
  <si>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</si>
  <si>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 </t>
    </r>
    <r>
      <rPr>
        <b/>
        <sz val="11"/>
        <color rgb="FF000000"/>
        <rFont val="Calibri"/>
        <family val="2"/>
        <scheme val="minor"/>
      </rPr>
      <t>(HOSPITAL E PRONTO SOCORRO JOÃO PAULO II - JPII)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</si>
  <si>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"B"</t>
    </r>
    <r>
      <rPr>
        <sz val="11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 </t>
    </r>
    <r>
      <rPr>
        <b/>
        <sz val="11"/>
        <rFont val="Calibri"/>
        <family val="2"/>
        <scheme val="minor"/>
      </rPr>
      <t>(SERVIÇO DE ATENDIMENTO MULTIDISCIPLINAR DOMICILIAR - SAMD)</t>
    </r>
  </si>
  <si>
    <r>
      <t xml:space="preserve">Ambulância de Suporte Básico </t>
    </r>
    <r>
      <rPr>
        <b/>
        <sz val="11"/>
        <color theme="1"/>
        <rFont val="Calibri"/>
        <family val="2"/>
        <scheme val="minor"/>
      </rPr>
      <t>TIPO ”B”</t>
    </r>
    <r>
      <rPr>
        <sz val="11"/>
        <color theme="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color theme="1"/>
        <rFont val="Calibri"/>
        <family val="2"/>
        <scheme val="minor"/>
      </rPr>
      <t>(HOSPITAL E PRONTO SOCORRO JOÃO PAULO II - JPII)</t>
    </r>
  </si>
  <si>
    <t>SERVIÇO</t>
  </si>
  <si>
    <t>TOTAL MENSAL POR  FUNCIONÁRIO AMI - AMBULANCIA TIPO "D"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</si>
  <si>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</si>
  <si>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</si>
  <si>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</si>
  <si>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</si>
  <si>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JP-II  - TIPO "D"</t>
  </si>
  <si>
    <t>AMI  - TIPO "D"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</si>
  <si>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e, finalmente, para 2024, a alíquota de 6,97%, sobre o valor de 2023.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</si>
  <si>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 xml:space="preserve">Quantidade Mensal </t>
  </si>
  <si>
    <t>Quantidade Anual</t>
  </si>
  <si>
    <t>Valor m3</t>
  </si>
  <si>
    <t>OXIGÊNIO GASOSO</t>
  </si>
  <si>
    <t>m3</t>
  </si>
  <si>
    <t>AR COMPRIMIDO MEDICINAL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</si>
</sst>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trike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30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4" fillId="0" borderId="0"/>
  </cellStyleXfs>
  <cellXfs count="558">
    <xf numFmtId="0" fontId="0" fillId="0" borderId="0" xfId="0"/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2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2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/>
    <xf numFmtId="0" fontId="9" fillId="2" borderId="13" xfId="0" applyFont="1" applyFill="1" applyBorder="1" applyAlignment="1">
      <alignment horizont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3" borderId="12" xfId="0" applyFill="1" applyBorder="1"/>
    <xf numFmtId="0" fontId="0" fillId="3" borderId="12" xfId="0" applyFill="1" applyBorder="1" applyAlignment="1">
      <alignment horizontal="center"/>
    </xf>
    <xf numFmtId="0" fontId="0" fillId="0" borderId="13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right" vertical="center" wrapText="1"/>
    </xf>
    <xf numFmtId="0" fontId="22" fillId="2" borderId="3" xfId="4" applyFont="1" applyFill="1" applyBorder="1" applyAlignment="1">
      <alignment horizontal="justify" vertical="center" wrapText="1"/>
    </xf>
    <xf numFmtId="0" fontId="22" fillId="2" borderId="3" xfId="0" applyFont="1" applyFill="1" applyBorder="1" applyAlignment="1">
      <alignment horizontal="justify" vertical="center"/>
    </xf>
    <xf numFmtId="0" fontId="23" fillId="2" borderId="21" xfId="5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vertical="center"/>
    </xf>
    <xf numFmtId="0" fontId="22" fillId="2" borderId="3" xfId="5" applyFont="1" applyFill="1" applyBorder="1" applyAlignment="1">
      <alignment vertical="center" wrapText="1"/>
    </xf>
    <xf numFmtId="0" fontId="22" fillId="2" borderId="21" xfId="5" applyFont="1" applyFill="1" applyBorder="1" applyAlignment="1">
      <alignment horizontal="center" vertical="center" wrapText="1"/>
    </xf>
    <xf numFmtId="164" fontId="23" fillId="2" borderId="3" xfId="2" applyNumberFormat="1" applyFont="1" applyFill="1" applyBorder="1" applyAlignment="1">
      <alignment horizontal="justify" vertical="center"/>
    </xf>
    <xf numFmtId="0" fontId="22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vertical="center" wrapText="1"/>
    </xf>
    <xf numFmtId="0" fontId="23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3" xfId="5" applyFont="1" applyBorder="1" applyAlignment="1">
      <alignment horizontal="left" vertical="center" wrapText="1"/>
    </xf>
    <xf numFmtId="0" fontId="22" fillId="2" borderId="3" xfId="5" applyFont="1" applyFill="1" applyBorder="1" applyAlignment="1">
      <alignment vertical="center"/>
    </xf>
    <xf numFmtId="0" fontId="23" fillId="2" borderId="3" xfId="5" applyFont="1" applyFill="1" applyBorder="1" applyAlignment="1">
      <alignment horizontal="center" vertical="center" wrapText="1"/>
    </xf>
    <xf numFmtId="165" fontId="23" fillId="2" borderId="3" xfId="0" applyNumberFormat="1" applyFont="1" applyFill="1" applyBorder="1" applyAlignment="1">
      <alignment horizontal="right" vertical="center"/>
    </xf>
    <xf numFmtId="10" fontId="22" fillId="0" borderId="3" xfId="2" applyNumberFormat="1" applyFont="1" applyFill="1" applyBorder="1" applyAlignment="1">
      <alignment horizontal="center" vertical="center"/>
    </xf>
    <xf numFmtId="10" fontId="23" fillId="5" borderId="3" xfId="2" applyNumberFormat="1" applyFont="1" applyFill="1" applyBorder="1" applyAlignment="1">
      <alignment horizontal="center" vertical="center"/>
    </xf>
    <xf numFmtId="165" fontId="23" fillId="2" borderId="3" xfId="5" applyNumberFormat="1" applyFont="1" applyFill="1" applyBorder="1" applyAlignment="1">
      <alignment horizontal="center" vertical="center" wrapText="1"/>
    </xf>
    <xf numFmtId="165" fontId="23" fillId="2" borderId="20" xfId="5" applyNumberFormat="1" applyFont="1" applyFill="1" applyBorder="1" applyAlignment="1">
      <alignment horizontal="center" vertical="center" wrapText="1"/>
    </xf>
    <xf numFmtId="165" fontId="22" fillId="2" borderId="20" xfId="0" applyNumberFormat="1" applyFont="1" applyFill="1" applyBorder="1" applyAlignment="1">
      <alignment horizontal="center" vertical="center"/>
    </xf>
    <xf numFmtId="165" fontId="22" fillId="2" borderId="20" xfId="0" quotePrefix="1" applyNumberFormat="1" applyFont="1" applyFill="1" applyBorder="1" applyAlignment="1">
      <alignment horizontal="center" vertical="center"/>
    </xf>
    <xf numFmtId="165" fontId="23" fillId="6" borderId="20" xfId="0" applyNumberFormat="1" applyFont="1" applyFill="1" applyBorder="1" applyAlignment="1">
      <alignment horizontal="center" vertical="center"/>
    </xf>
    <xf numFmtId="165" fontId="22" fillId="0" borderId="20" xfId="0" applyNumberFormat="1" applyFont="1" applyBorder="1" applyAlignment="1">
      <alignment horizontal="center" vertical="center"/>
    </xf>
    <xf numFmtId="165" fontId="23" fillId="5" borderId="20" xfId="0" applyNumberFormat="1" applyFont="1" applyFill="1" applyBorder="1" applyAlignment="1">
      <alignment horizontal="center" vertical="center"/>
    </xf>
    <xf numFmtId="165" fontId="22" fillId="0" borderId="20" xfId="0" quotePrefix="1" applyNumberFormat="1" applyFont="1" applyBorder="1" applyAlignment="1">
      <alignment horizontal="center" vertical="center"/>
    </xf>
    <xf numFmtId="165" fontId="23" fillId="2" borderId="3" xfId="0" applyNumberFormat="1" applyFont="1" applyFill="1" applyBorder="1" applyAlignment="1">
      <alignment horizontal="center" vertical="center"/>
    </xf>
    <xf numFmtId="165" fontId="23" fillId="6" borderId="3" xfId="0" applyNumberFormat="1" applyFont="1" applyFill="1" applyBorder="1" applyAlignment="1">
      <alignment horizontal="center" vertical="center"/>
    </xf>
    <xf numFmtId="165" fontId="22" fillId="0" borderId="3" xfId="2" applyNumberFormat="1" applyFont="1" applyFill="1" applyBorder="1" applyAlignment="1">
      <alignment horizontal="center" vertical="center"/>
    </xf>
    <xf numFmtId="0" fontId="22" fillId="0" borderId="3" xfId="5" applyFont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165" fontId="23" fillId="0" borderId="3" xfId="5" applyNumberFormat="1" applyFont="1" applyBorder="1" applyAlignment="1">
      <alignment horizontal="center" vertical="center" wrapText="1"/>
    </xf>
    <xf numFmtId="165" fontId="23" fillId="4" borderId="3" xfId="5" applyNumberFormat="1" applyFont="1" applyFill="1" applyBorder="1" applyAlignment="1">
      <alignment horizontal="center" vertical="center" wrapText="1"/>
    </xf>
    <xf numFmtId="165" fontId="23" fillId="3" borderId="3" xfId="5" applyNumberFormat="1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10" fontId="23" fillId="2" borderId="3" xfId="2" applyNumberFormat="1" applyFont="1" applyFill="1" applyBorder="1" applyAlignment="1">
      <alignment vertical="center"/>
    </xf>
    <xf numFmtId="165" fontId="22" fillId="2" borderId="3" xfId="2" applyNumberFormat="1" applyFont="1" applyFill="1" applyBorder="1" applyAlignment="1">
      <alignment horizontal="center" vertical="center"/>
    </xf>
    <xf numFmtId="0" fontId="31" fillId="4" borderId="21" xfId="5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vertical="center"/>
    </xf>
    <xf numFmtId="164" fontId="25" fillId="2" borderId="3" xfId="2" applyNumberFormat="1" applyFont="1" applyFill="1" applyBorder="1" applyAlignment="1">
      <alignment horizontal="justify" vertical="center"/>
    </xf>
    <xf numFmtId="165" fontId="22" fillId="2" borderId="3" xfId="0" quotePrefix="1" applyNumberFormat="1" applyFont="1" applyFill="1" applyBorder="1" applyAlignment="1">
      <alignment horizontal="center" vertical="center"/>
    </xf>
    <xf numFmtId="165" fontId="22" fillId="0" borderId="3" xfId="0" applyNumberFormat="1" applyFont="1" applyBorder="1" applyAlignment="1">
      <alignment horizontal="center" vertical="center"/>
    </xf>
    <xf numFmtId="165" fontId="23" fillId="5" borderId="3" xfId="0" applyNumberFormat="1" applyFont="1" applyFill="1" applyBorder="1" applyAlignment="1">
      <alignment horizontal="center" vertical="center" wrapText="1"/>
    </xf>
    <xf numFmtId="165" fontId="23" fillId="5" borderId="3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left" vertical="center"/>
    </xf>
    <xf numFmtId="10" fontId="32" fillId="0" borderId="3" xfId="0" applyNumberFormat="1" applyFont="1" applyBorder="1" applyAlignment="1">
      <alignment horizontal="center" vertical="center"/>
    </xf>
    <xf numFmtId="165" fontId="23" fillId="5" borderId="3" xfId="2" applyNumberFormat="1" applyFont="1" applyFill="1" applyBorder="1" applyAlignment="1">
      <alignment horizontal="center" vertical="center"/>
    </xf>
    <xf numFmtId="164" fontId="23" fillId="0" borderId="3" xfId="2" applyNumberFormat="1" applyFont="1" applyFill="1" applyBorder="1" applyAlignment="1">
      <alignment horizontal="center" vertical="center"/>
    </xf>
    <xf numFmtId="165" fontId="22" fillId="0" borderId="3" xfId="0" quotePrefix="1" applyNumberFormat="1" applyFont="1" applyBorder="1" applyAlignment="1">
      <alignment horizontal="center" vertical="center"/>
    </xf>
    <xf numFmtId="165" fontId="23" fillId="5" borderId="3" xfId="5" applyNumberFormat="1" applyFont="1" applyFill="1" applyBorder="1" applyAlignment="1">
      <alignment horizontal="center" vertical="center" wrapText="1"/>
    </xf>
    <xf numFmtId="165" fontId="23" fillId="6" borderId="3" xfId="5" applyNumberFormat="1" applyFont="1" applyFill="1" applyBorder="1" applyAlignment="1">
      <alignment horizontal="center" vertical="center" wrapText="1"/>
    </xf>
    <xf numFmtId="165" fontId="22" fillId="0" borderId="3" xfId="5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165" fontId="22" fillId="0" borderId="3" xfId="5" applyNumberFormat="1" applyFont="1" applyBorder="1" applyAlignment="1">
      <alignment horizontal="center" vertical="center"/>
    </xf>
    <xf numFmtId="0" fontId="23" fillId="4" borderId="20" xfId="5" applyFont="1" applyFill="1" applyBorder="1" applyAlignment="1">
      <alignment horizontal="center" vertical="center"/>
    </xf>
    <xf numFmtId="0" fontId="22" fillId="2" borderId="21" xfId="5" applyFont="1" applyFill="1" applyBorder="1" applyAlignment="1">
      <alignment horizontal="center" vertical="center"/>
    </xf>
    <xf numFmtId="10" fontId="23" fillId="5" borderId="3" xfId="0" applyNumberFormat="1" applyFont="1" applyFill="1" applyBorder="1" applyAlignment="1">
      <alignment horizontal="center" vertical="center" wrapText="1"/>
    </xf>
    <xf numFmtId="10" fontId="23" fillId="2" borderId="3" xfId="2" applyNumberFormat="1" applyFont="1" applyFill="1" applyBorder="1" applyAlignment="1">
      <alignment horizontal="center" vertical="center"/>
    </xf>
    <xf numFmtId="10" fontId="23" fillId="5" borderId="3" xfId="5" applyNumberFormat="1" applyFont="1" applyFill="1" applyBorder="1" applyAlignment="1">
      <alignment horizontal="center" vertical="center" wrapText="1"/>
    </xf>
    <xf numFmtId="0" fontId="22" fillId="0" borderId="3" xfId="5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2" fillId="0" borderId="3" xfId="0" applyFont="1" applyBorder="1" applyAlignment="1">
      <alignment horizontal="left" vertical="center"/>
    </xf>
    <xf numFmtId="0" fontId="22" fillId="0" borderId="3" xfId="0" applyFont="1" applyBorder="1" applyAlignment="1">
      <alignment vertical="center" wrapText="1"/>
    </xf>
    <xf numFmtId="0" fontId="23" fillId="0" borderId="3" xfId="0" applyFont="1" applyBorder="1" applyAlignment="1">
      <alignment vertical="center"/>
    </xf>
    <xf numFmtId="10" fontId="23" fillId="0" borderId="3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165" fontId="23" fillId="5" borderId="10" xfId="5" applyNumberFormat="1" applyFont="1" applyFill="1" applyBorder="1" applyAlignment="1">
      <alignment horizontal="center" vertical="center" wrapText="1"/>
    </xf>
    <xf numFmtId="165" fontId="31" fillId="4" borderId="3" xfId="5" applyNumberFormat="1" applyFont="1" applyFill="1" applyBorder="1" applyAlignment="1">
      <alignment horizontal="center" vertical="center" wrapText="1"/>
    </xf>
    <xf numFmtId="2" fontId="22" fillId="2" borderId="3" xfId="5" applyNumberFormat="1" applyFont="1" applyFill="1" applyBorder="1" applyAlignment="1">
      <alignment horizontal="center" vertical="center"/>
    </xf>
    <xf numFmtId="0" fontId="23" fillId="0" borderId="3" xfId="6" applyFont="1" applyFill="1" applyBorder="1" applyAlignment="1" applyProtection="1">
      <alignment horizontal="left" vertical="center"/>
    </xf>
    <xf numFmtId="0" fontId="23" fillId="0" borderId="3" xfId="0" applyFont="1" applyBorder="1" applyAlignment="1">
      <alignment horizontal="left" vertical="center"/>
    </xf>
    <xf numFmtId="164" fontId="23" fillId="2" borderId="3" xfId="2" applyNumberFormat="1" applyFont="1" applyFill="1" applyBorder="1" applyAlignment="1">
      <alignment horizontal="center" vertical="center"/>
    </xf>
    <xf numFmtId="0" fontId="22" fillId="2" borderId="3" xfId="5" applyFont="1" applyFill="1" applyBorder="1" applyAlignment="1">
      <alignment horizontal="left" vertical="center" wrapText="1"/>
    </xf>
    <xf numFmtId="0" fontId="2" fillId="5" borderId="20" xfId="0" applyFont="1" applyFill="1" applyBorder="1" applyAlignment="1">
      <alignment horizontal="center" vertical="center" wrapText="1"/>
    </xf>
    <xf numFmtId="165" fontId="28" fillId="7" borderId="14" xfId="0" applyNumberFormat="1" applyFont="1" applyFill="1" applyBorder="1" applyAlignment="1">
      <alignment horizontal="center" vertical="center"/>
    </xf>
    <xf numFmtId="1" fontId="29" fillId="0" borderId="3" xfId="0" applyNumberFormat="1" applyFont="1" applyBorder="1" applyAlignment="1">
      <alignment horizontal="center" vertical="center" shrinkToFit="1"/>
    </xf>
    <xf numFmtId="0" fontId="28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8" fillId="5" borderId="21" xfId="0" applyFont="1" applyFill="1" applyBorder="1" applyAlignment="1">
      <alignment horizontal="center" vertical="center"/>
    </xf>
    <xf numFmtId="165" fontId="27" fillId="0" borderId="3" xfId="7" applyNumberFormat="1" applyFont="1" applyBorder="1" applyAlignment="1">
      <alignment horizontal="center" vertical="center"/>
    </xf>
    <xf numFmtId="165" fontId="27" fillId="0" borderId="20" xfId="7" applyNumberFormat="1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3" xfId="0" applyFont="1" applyBorder="1" applyAlignment="1">
      <alignment horizontal="left" vertical="center" wrapText="1"/>
    </xf>
    <xf numFmtId="165" fontId="2" fillId="7" borderId="14" xfId="7" applyNumberFormat="1" applyFont="1" applyFill="1" applyBorder="1" applyAlignment="1">
      <alignment horizontal="center"/>
    </xf>
    <xf numFmtId="165" fontId="22" fillId="2" borderId="33" xfId="0" applyNumberFormat="1" applyFont="1" applyFill="1" applyBorder="1" applyAlignment="1">
      <alignment horizontal="center" vertical="center"/>
    </xf>
    <xf numFmtId="165" fontId="22" fillId="0" borderId="33" xfId="0" applyNumberFormat="1" applyFont="1" applyBorder="1" applyAlignment="1">
      <alignment horizontal="center" vertical="center"/>
    </xf>
    <xf numFmtId="165" fontId="23" fillId="5" borderId="33" xfId="0" applyNumberFormat="1" applyFont="1" applyFill="1" applyBorder="1" applyAlignment="1">
      <alignment horizontal="center" vertical="center"/>
    </xf>
    <xf numFmtId="165" fontId="25" fillId="2" borderId="3" xfId="2" applyNumberFormat="1" applyFont="1" applyFill="1" applyBorder="1" applyAlignment="1">
      <alignment horizontal="justify" vertical="center"/>
    </xf>
    <xf numFmtId="165" fontId="23" fillId="2" borderId="3" xfId="2" applyNumberFormat="1" applyFont="1" applyFill="1" applyBorder="1" applyAlignment="1">
      <alignment horizontal="justify" vertical="center"/>
    </xf>
    <xf numFmtId="165" fontId="23" fillId="2" borderId="33" xfId="5" applyNumberFormat="1" applyFont="1" applyFill="1" applyBorder="1" applyAlignment="1">
      <alignment horizontal="center" vertical="center" wrapText="1"/>
    </xf>
    <xf numFmtId="165" fontId="22" fillId="2" borderId="33" xfId="0" quotePrefix="1" applyNumberFormat="1" applyFont="1" applyFill="1" applyBorder="1" applyAlignment="1">
      <alignment horizontal="center" vertical="center"/>
    </xf>
    <xf numFmtId="165" fontId="23" fillId="6" borderId="33" xfId="0" applyNumberFormat="1" applyFont="1" applyFill="1" applyBorder="1" applyAlignment="1">
      <alignment horizontal="center" vertical="center"/>
    </xf>
    <xf numFmtId="165" fontId="23" fillId="4" borderId="33" xfId="5" applyNumberFormat="1" applyFont="1" applyFill="1" applyBorder="1" applyAlignment="1">
      <alignment horizontal="center" vertical="center" wrapText="1"/>
    </xf>
    <xf numFmtId="165" fontId="23" fillId="0" borderId="33" xfId="5" applyNumberFormat="1" applyFont="1" applyBorder="1" applyAlignment="1">
      <alignment horizontal="center" vertical="center" wrapText="1"/>
    </xf>
    <xf numFmtId="165" fontId="23" fillId="2" borderId="33" xfId="0" applyNumberFormat="1" applyFont="1" applyFill="1" applyBorder="1" applyAlignment="1">
      <alignment horizontal="center" vertical="center"/>
    </xf>
    <xf numFmtId="165" fontId="23" fillId="4" borderId="33" xfId="0" applyNumberFormat="1" applyFont="1" applyFill="1" applyBorder="1" applyAlignment="1">
      <alignment horizontal="center" vertical="center"/>
    </xf>
    <xf numFmtId="165" fontId="22" fillId="0" borderId="33" xfId="1" applyNumberFormat="1" applyFont="1" applyFill="1" applyBorder="1" applyAlignment="1">
      <alignment horizontal="center" vertical="center"/>
    </xf>
    <xf numFmtId="165" fontId="23" fillId="9" borderId="33" xfId="5" applyNumberFormat="1" applyFont="1" applyFill="1" applyBorder="1" applyAlignment="1">
      <alignment horizontal="center" vertical="center" wrapText="1"/>
    </xf>
    <xf numFmtId="165" fontId="23" fillId="0" borderId="33" xfId="0" applyNumberFormat="1" applyFont="1" applyBorder="1" applyAlignment="1">
      <alignment horizontal="center" vertical="center"/>
    </xf>
    <xf numFmtId="165" fontId="23" fillId="5" borderId="36" xfId="0" applyNumberFormat="1" applyFont="1" applyFill="1" applyBorder="1" applyAlignment="1">
      <alignment horizontal="center" vertical="center"/>
    </xf>
    <xf numFmtId="165" fontId="31" fillId="4" borderId="33" xfId="5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5" fontId="0" fillId="2" borderId="3" xfId="0" applyNumberFormat="1" applyFill="1" applyBorder="1" applyAlignment="1">
      <alignment horizontal="center" vertical="center" wrapText="1"/>
    </xf>
    <xf numFmtId="165" fontId="0" fillId="2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5" fontId="0" fillId="2" borderId="20" xfId="0" applyNumberFormat="1" applyFill="1" applyBorder="1" applyAlignment="1">
      <alignment horizontal="center" vertical="center"/>
    </xf>
    <xf numFmtId="0" fontId="23" fillId="4" borderId="20" xfId="0" applyFont="1" applyFill="1" applyBorder="1" applyAlignment="1">
      <alignment vertical="center"/>
    </xf>
    <xf numFmtId="10" fontId="22" fillId="2" borderId="3" xfId="2" applyNumberFormat="1" applyFont="1" applyFill="1" applyBorder="1" applyAlignment="1">
      <alignment horizontal="center" vertical="center"/>
    </xf>
    <xf numFmtId="165" fontId="23" fillId="3" borderId="33" xfId="5" applyNumberFormat="1" applyFont="1" applyFill="1" applyBorder="1" applyAlignment="1">
      <alignment horizontal="center" vertical="center" wrapText="1"/>
    </xf>
    <xf numFmtId="4" fontId="22" fillId="2" borderId="33" xfId="0" applyNumberFormat="1" applyFont="1" applyFill="1" applyBorder="1" applyAlignment="1">
      <alignment horizontal="center" vertical="center"/>
    </xf>
    <xf numFmtId="0" fontId="33" fillId="0" borderId="0" xfId="12" applyAlignment="1">
      <alignment horizontal="left" vertical="top"/>
    </xf>
    <xf numFmtId="0" fontId="29" fillId="2" borderId="3" xfId="0" applyFont="1" applyFill="1" applyBorder="1" applyAlignment="1">
      <alignment horizontal="center" vertical="center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4" fontId="23" fillId="2" borderId="33" xfId="5" applyNumberFormat="1" applyFont="1" applyFill="1" applyBorder="1" applyAlignment="1">
      <alignment horizontal="center" vertical="center" wrapText="1"/>
    </xf>
    <xf numFmtId="165" fontId="23" fillId="4" borderId="20" xfId="5" applyNumberFormat="1" applyFont="1" applyFill="1" applyBorder="1" applyAlignment="1">
      <alignment horizontal="center" vertical="center" wrapText="1"/>
    </xf>
    <xf numFmtId="165" fontId="22" fillId="2" borderId="3" xfId="5" applyNumberFormat="1" applyFont="1" applyFill="1" applyBorder="1" applyAlignment="1">
      <alignment horizontal="center" vertical="center"/>
    </xf>
    <xf numFmtId="165" fontId="23" fillId="4" borderId="3" xfId="0" applyNumberFormat="1" applyFont="1" applyFill="1" applyBorder="1" applyAlignment="1">
      <alignment horizontal="center" vertical="center"/>
    </xf>
    <xf numFmtId="165" fontId="22" fillId="0" borderId="3" xfId="1" applyNumberFormat="1" applyFont="1" applyFill="1" applyBorder="1" applyAlignment="1">
      <alignment horizontal="center" vertical="center"/>
    </xf>
    <xf numFmtId="165" fontId="23" fillId="9" borderId="3" xfId="5" applyNumberFormat="1" applyFont="1" applyFill="1" applyBorder="1" applyAlignment="1">
      <alignment horizontal="center" vertical="center" wrapText="1"/>
    </xf>
    <xf numFmtId="165" fontId="23" fillId="5" borderId="10" xfId="0" applyNumberFormat="1" applyFont="1" applyFill="1" applyBorder="1" applyAlignment="1">
      <alignment horizontal="center" vertical="center"/>
    </xf>
    <xf numFmtId="165" fontId="23" fillId="0" borderId="20" xfId="5" applyNumberFormat="1" applyFont="1" applyBorder="1" applyAlignment="1">
      <alignment horizontal="center" vertical="center" wrapText="1"/>
    </xf>
    <xf numFmtId="165" fontId="25" fillId="2" borderId="20" xfId="2" applyNumberFormat="1" applyFont="1" applyFill="1" applyBorder="1" applyAlignment="1">
      <alignment horizontal="justify" vertical="center"/>
    </xf>
    <xf numFmtId="165" fontId="22" fillId="2" borderId="20" xfId="2" applyNumberFormat="1" applyFont="1" applyFill="1" applyBorder="1" applyAlignment="1">
      <alignment horizontal="center" vertical="center"/>
    </xf>
    <xf numFmtId="165" fontId="23" fillId="2" borderId="20" xfId="2" applyNumberFormat="1" applyFont="1" applyFill="1" applyBorder="1" applyAlignment="1">
      <alignment horizontal="justify" vertical="center"/>
    </xf>
    <xf numFmtId="165" fontId="23" fillId="6" borderId="20" xfId="5" applyNumberFormat="1" applyFont="1" applyFill="1" applyBorder="1" applyAlignment="1">
      <alignment horizontal="center" vertical="center" wrapText="1"/>
    </xf>
    <xf numFmtId="165" fontId="22" fillId="0" borderId="20" xfId="2" applyNumberFormat="1" applyFont="1" applyFill="1" applyBorder="1" applyAlignment="1">
      <alignment horizontal="center" vertical="center"/>
    </xf>
    <xf numFmtId="165" fontId="23" fillId="5" borderId="20" xfId="0" applyNumberFormat="1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left" vertical="center" wrapText="1"/>
    </xf>
    <xf numFmtId="165" fontId="23" fillId="5" borderId="20" xfId="2" applyNumberFormat="1" applyFont="1" applyFill="1" applyBorder="1" applyAlignment="1">
      <alignment horizontal="center" vertical="center"/>
    </xf>
    <xf numFmtId="165" fontId="31" fillId="4" borderId="20" xfId="5" applyNumberFormat="1" applyFont="1" applyFill="1" applyBorder="1" applyAlignment="1">
      <alignment horizontal="center" vertical="center" wrapText="1"/>
    </xf>
    <xf numFmtId="165" fontId="23" fillId="5" borderId="20" xfId="5" applyNumberFormat="1" applyFont="1" applyFill="1" applyBorder="1" applyAlignment="1">
      <alignment horizontal="center" vertical="center" wrapText="1"/>
    </xf>
    <xf numFmtId="165" fontId="23" fillId="2" borderId="20" xfId="0" applyNumberFormat="1" applyFont="1" applyFill="1" applyBorder="1" applyAlignment="1">
      <alignment horizontal="center" vertical="center"/>
    </xf>
    <xf numFmtId="165" fontId="22" fillId="0" borderId="20" xfId="5" applyNumberFormat="1" applyFont="1" applyBorder="1" applyAlignment="1">
      <alignment horizontal="center" vertical="center" wrapText="1"/>
    </xf>
    <xf numFmtId="165" fontId="22" fillId="0" borderId="20" xfId="5" applyNumberFormat="1" applyFont="1" applyBorder="1" applyAlignment="1">
      <alignment horizontal="center" vertical="center"/>
    </xf>
    <xf numFmtId="165" fontId="23" fillId="0" borderId="20" xfId="0" applyNumberFormat="1" applyFont="1" applyBorder="1" applyAlignment="1">
      <alignment horizontal="center" vertical="center"/>
    </xf>
    <xf numFmtId="165" fontId="23" fillId="3" borderId="20" xfId="5" applyNumberFormat="1" applyFont="1" applyFill="1" applyBorder="1" applyAlignment="1">
      <alignment horizontal="center" vertical="center" wrapText="1"/>
    </xf>
    <xf numFmtId="165" fontId="23" fillId="5" borderId="24" xfId="5" applyNumberFormat="1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165" fontId="23" fillId="4" borderId="20" xfId="0" applyNumberFormat="1" applyFont="1" applyFill="1" applyBorder="1" applyAlignment="1">
      <alignment horizontal="center" vertical="center"/>
    </xf>
    <xf numFmtId="165" fontId="22" fillId="0" borderId="20" xfId="1" applyNumberFormat="1" applyFont="1" applyFill="1" applyBorder="1" applyAlignment="1">
      <alignment horizontal="center" vertical="center"/>
    </xf>
    <xf numFmtId="165" fontId="23" fillId="9" borderId="20" xfId="5" applyNumberFormat="1" applyFont="1" applyFill="1" applyBorder="1" applyAlignment="1">
      <alignment horizontal="center" vertical="center" wrapText="1"/>
    </xf>
    <xf numFmtId="165" fontId="23" fillId="5" borderId="24" xfId="0" applyNumberFormat="1" applyFont="1" applyFill="1" applyBorder="1" applyAlignment="1">
      <alignment horizontal="center" vertical="center"/>
    </xf>
    <xf numFmtId="10" fontId="23" fillId="2" borderId="42" xfId="2" applyNumberFormat="1" applyFont="1" applyFill="1" applyBorder="1" applyAlignment="1">
      <alignment vertical="center"/>
    </xf>
    <xf numFmtId="4" fontId="23" fillId="2" borderId="3" xfId="0" applyNumberFormat="1" applyFont="1" applyFill="1" applyBorder="1" applyAlignment="1">
      <alignment horizontal="center" vertical="center"/>
    </xf>
    <xf numFmtId="4" fontId="23" fillId="2" borderId="20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/>
    </xf>
    <xf numFmtId="165" fontId="23" fillId="5" borderId="4" xfId="0" applyNumberFormat="1" applyFont="1" applyFill="1" applyBorder="1" applyAlignment="1">
      <alignment horizontal="center" vertical="center"/>
    </xf>
    <xf numFmtId="165" fontId="23" fillId="5" borderId="48" xfId="0" applyNumberFormat="1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165" fontId="27" fillId="2" borderId="3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/>
    </xf>
    <xf numFmtId="165" fontId="27" fillId="2" borderId="3" xfId="0" applyNumberFormat="1" applyFont="1" applyFill="1" applyBorder="1" applyAlignment="1">
      <alignment horizontal="center" vertical="center"/>
    </xf>
    <xf numFmtId="0" fontId="28" fillId="2" borderId="38" xfId="0" applyFont="1" applyFill="1" applyBorder="1" applyAlignment="1">
      <alignment horizontal="center" vertical="top" wrapText="1"/>
    </xf>
    <xf numFmtId="0" fontId="28" fillId="2" borderId="0" xfId="0" applyFont="1" applyFill="1" applyAlignment="1">
      <alignment horizontal="center" vertical="top" wrapText="1"/>
    </xf>
    <xf numFmtId="0" fontId="28" fillId="2" borderId="39" xfId="0" applyFont="1" applyFill="1" applyBorder="1" applyAlignment="1">
      <alignment horizontal="center" vertical="top" wrapText="1"/>
    </xf>
    <xf numFmtId="0" fontId="28" fillId="5" borderId="31" xfId="0" applyFont="1" applyFill="1" applyBorder="1" applyAlignment="1">
      <alignment horizontal="center" vertical="center"/>
    </xf>
    <xf numFmtId="0" fontId="28" fillId="5" borderId="28" xfId="0" applyFont="1" applyFill="1" applyBorder="1" applyAlignment="1">
      <alignment horizontal="center" vertical="center"/>
    </xf>
    <xf numFmtId="0" fontId="28" fillId="5" borderId="29" xfId="0" applyFont="1" applyFill="1" applyBorder="1" applyAlignment="1">
      <alignment horizontal="center" vertical="center"/>
    </xf>
    <xf numFmtId="165" fontId="28" fillId="5" borderId="3" xfId="0" applyNumberFormat="1" applyFont="1" applyFill="1" applyBorder="1" applyAlignment="1">
      <alignment horizontal="center" vertical="center"/>
    </xf>
    <xf numFmtId="165" fontId="28" fillId="5" borderId="20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27" fillId="2" borderId="3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1" fontId="29" fillId="0" borderId="10" xfId="0" applyNumberFormat="1" applyFont="1" applyBorder="1" applyAlignment="1">
      <alignment horizontal="center" vertical="center" shrinkToFit="1"/>
    </xf>
    <xf numFmtId="165" fontId="27" fillId="0" borderId="10" xfId="0" applyNumberFormat="1" applyFont="1" applyBorder="1" applyAlignment="1">
      <alignment horizontal="center" vertical="center"/>
    </xf>
    <xf numFmtId="165" fontId="27" fillId="0" borderId="10" xfId="7" applyNumberFormat="1" applyFont="1" applyBorder="1" applyAlignment="1">
      <alignment horizontal="center" vertical="center"/>
    </xf>
    <xf numFmtId="165" fontId="27" fillId="0" borderId="24" xfId="7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4" borderId="3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/>
    </xf>
    <xf numFmtId="0" fontId="35" fillId="5" borderId="21" xfId="0" applyFont="1" applyFill="1" applyBorder="1" applyAlignment="1">
      <alignment horizontal="center" vertical="center"/>
    </xf>
    <xf numFmtId="0" fontId="35" fillId="5" borderId="3" xfId="0" applyFont="1" applyFill="1" applyBorder="1" applyAlignment="1">
      <alignment horizontal="center" vertical="center"/>
    </xf>
    <xf numFmtId="0" fontId="33" fillId="0" borderId="0" xfId="12" applyBorder="1" applyAlignment="1">
      <alignment horizontal="left" vertical="top"/>
    </xf>
    <xf numFmtId="1" fontId="29" fillId="0" borderId="3" xfId="12" applyNumberFormat="1" applyFont="1" applyBorder="1" applyAlignment="1">
      <alignment horizontal="center" vertical="center" shrinkToFit="1"/>
    </xf>
    <xf numFmtId="0" fontId="27" fillId="0" borderId="3" xfId="12" applyFont="1" applyBorder="1" applyAlignment="1">
      <alignment horizontal="center" vertical="center" wrapText="1"/>
    </xf>
    <xf numFmtId="165" fontId="29" fillId="0" borderId="3" xfId="12" applyNumberFormat="1" applyFont="1" applyBorder="1" applyAlignment="1">
      <alignment horizontal="center" vertical="center" wrapText="1"/>
    </xf>
    <xf numFmtId="165" fontId="29" fillId="2" borderId="3" xfId="12" applyNumberFormat="1" applyFont="1" applyFill="1" applyBorder="1" applyAlignment="1">
      <alignment horizontal="center" vertical="center" wrapText="1"/>
    </xf>
    <xf numFmtId="1" fontId="29" fillId="0" borderId="21" xfId="12" applyNumberFormat="1" applyFont="1" applyBorder="1" applyAlignment="1">
      <alignment horizontal="center" vertical="center" shrinkToFit="1"/>
    </xf>
    <xf numFmtId="165" fontId="29" fillId="0" borderId="20" xfId="12" applyNumberFormat="1" applyFont="1" applyBorder="1" applyAlignment="1">
      <alignment horizontal="center" vertical="center" wrapText="1"/>
    </xf>
    <xf numFmtId="165" fontId="32" fillId="0" borderId="3" xfId="0" applyNumberFormat="1" applyFont="1" applyBorder="1" applyAlignment="1">
      <alignment horizontal="center" vertical="center"/>
    </xf>
    <xf numFmtId="165" fontId="32" fillId="0" borderId="20" xfId="0" applyNumberFormat="1" applyFont="1" applyBorder="1" applyAlignment="1">
      <alignment horizontal="center" vertical="center"/>
    </xf>
    <xf numFmtId="165" fontId="32" fillId="2" borderId="3" xfId="0" applyNumberFormat="1" applyFont="1" applyFill="1" applyBorder="1" applyAlignment="1">
      <alignment horizontal="center" vertical="center"/>
    </xf>
    <xf numFmtId="165" fontId="32" fillId="2" borderId="20" xfId="0" applyNumberFormat="1" applyFont="1" applyFill="1" applyBorder="1" applyAlignment="1">
      <alignment horizontal="center" vertical="center"/>
    </xf>
    <xf numFmtId="0" fontId="32" fillId="2" borderId="21" xfId="5" applyFont="1" applyFill="1" applyBorder="1" applyAlignment="1">
      <alignment horizontal="center" vertical="center" wrapText="1"/>
    </xf>
    <xf numFmtId="165" fontId="32" fillId="0" borderId="33" xfId="0" applyNumberFormat="1" applyFont="1" applyBorder="1" applyAlignment="1">
      <alignment horizontal="center" vertical="center"/>
    </xf>
    <xf numFmtId="0" fontId="32" fillId="0" borderId="21" xfId="5" applyFont="1" applyBorder="1" applyAlignment="1">
      <alignment horizontal="center" vertical="center" wrapText="1"/>
    </xf>
    <xf numFmtId="165" fontId="32" fillId="2" borderId="33" xfId="0" applyNumberFormat="1" applyFont="1" applyFill="1" applyBorder="1" applyAlignment="1">
      <alignment horizontal="center" vertical="center"/>
    </xf>
    <xf numFmtId="165" fontId="31" fillId="6" borderId="3" xfId="0" applyNumberFormat="1" applyFont="1" applyFill="1" applyBorder="1" applyAlignment="1">
      <alignment horizontal="center" vertical="center"/>
    </xf>
    <xf numFmtId="165" fontId="31" fillId="6" borderId="20" xfId="0" applyNumberFormat="1" applyFont="1" applyFill="1" applyBorder="1" applyAlignment="1">
      <alignment horizontal="center" vertical="center"/>
    </xf>
    <xf numFmtId="0" fontId="28" fillId="5" borderId="20" xfId="0" applyFont="1" applyFill="1" applyBorder="1" applyAlignment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165" fontId="27" fillId="2" borderId="3" xfId="7" applyNumberFormat="1" applyFont="1" applyFill="1" applyBorder="1" applyAlignment="1">
      <alignment horizontal="center" vertical="center"/>
    </xf>
    <xf numFmtId="165" fontId="27" fillId="2" borderId="20" xfId="7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29" fillId="2" borderId="3" xfId="0" applyNumberFormat="1" applyFont="1" applyFill="1" applyBorder="1" applyAlignment="1">
      <alignment horizontal="center" vertical="center" shrinkToFit="1"/>
    </xf>
    <xf numFmtId="0" fontId="0" fillId="0" borderId="2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1" fontId="29" fillId="2" borderId="4" xfId="0" applyNumberFormat="1" applyFont="1" applyFill="1" applyBorder="1" applyAlignment="1">
      <alignment horizontal="center" vertical="center" shrinkToFit="1"/>
    </xf>
    <xf numFmtId="165" fontId="27" fillId="2" borderId="4" xfId="7" applyNumberFormat="1" applyFont="1" applyFill="1" applyBorder="1" applyAlignment="1">
      <alignment horizontal="center" vertical="center"/>
    </xf>
    <xf numFmtId="165" fontId="27" fillId="2" borderId="23" xfId="7" applyNumberFormat="1" applyFont="1" applyFill="1" applyBorder="1" applyAlignment="1">
      <alignment horizontal="center" vertical="center"/>
    </xf>
    <xf numFmtId="0" fontId="23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165" fontId="22" fillId="2" borderId="20" xfId="5" applyNumberFormat="1" applyFont="1" applyFill="1" applyBorder="1" applyAlignment="1">
      <alignment horizontal="center" vertical="center"/>
    </xf>
    <xf numFmtId="0" fontId="35" fillId="5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2" borderId="25" xfId="0" applyFont="1" applyFill="1" applyBorder="1" applyAlignment="1">
      <alignment horizontal="center" vertical="center"/>
    </xf>
    <xf numFmtId="165" fontId="0" fillId="2" borderId="25" xfId="0" applyNumberForma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165" fontId="0" fillId="2" borderId="25" xfId="0" applyNumberFormat="1" applyFill="1" applyBorder="1" applyAlignment="1">
      <alignment horizontal="center" vertical="center"/>
    </xf>
    <xf numFmtId="165" fontId="0" fillId="2" borderId="19" xfId="0" applyNumberForma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0" fillId="2" borderId="23" xfId="0" applyNumberForma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/>
    </xf>
    <xf numFmtId="165" fontId="27" fillId="2" borderId="4" xfId="0" applyNumberFormat="1" applyFont="1" applyFill="1" applyBorder="1" applyAlignment="1">
      <alignment horizontal="center" vertical="center" wrapText="1"/>
    </xf>
    <xf numFmtId="165" fontId="27" fillId="2" borderId="4" xfId="0" applyNumberFormat="1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 wrapText="1"/>
    </xf>
    <xf numFmtId="0" fontId="27" fillId="2" borderId="3" xfId="15" applyFont="1" applyFill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165" fontId="35" fillId="7" borderId="13" xfId="12" applyNumberFormat="1" applyFont="1" applyFill="1" applyBorder="1" applyAlignment="1">
      <alignment horizontal="center" vertical="center" wrapText="1"/>
    </xf>
    <xf numFmtId="165" fontId="29" fillId="0" borderId="24" xfId="12" applyNumberFormat="1" applyFont="1" applyBorder="1" applyAlignment="1">
      <alignment horizontal="center" vertical="center" wrapText="1"/>
    </xf>
    <xf numFmtId="0" fontId="23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2" borderId="3" xfId="5" applyFont="1" applyFill="1" applyBorder="1" applyAlignment="1">
      <alignment horizontal="left" vertical="center" wrapText="1"/>
    </xf>
    <xf numFmtId="0" fontId="23" fillId="4" borderId="3" xfId="5" applyFont="1" applyFill="1" applyBorder="1" applyAlignment="1">
      <alignment horizontal="center" vertical="center"/>
    </xf>
    <xf numFmtId="0" fontId="23" fillId="4" borderId="20" xfId="5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left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8" borderId="3" xfId="5" applyFont="1" applyFill="1" applyBorder="1" applyAlignment="1">
      <alignment vertical="center"/>
    </xf>
    <xf numFmtId="0" fontId="23" fillId="8" borderId="1" xfId="5" applyFont="1" applyFill="1" applyBorder="1" applyAlignment="1">
      <alignment vertical="center"/>
    </xf>
    <xf numFmtId="0" fontId="23" fillId="8" borderId="20" xfId="5" applyFont="1" applyFill="1" applyBorder="1" applyAlignment="1">
      <alignment vertical="center"/>
    </xf>
    <xf numFmtId="0" fontId="23" fillId="4" borderId="3" xfId="5" applyFont="1" applyFill="1" applyBorder="1" applyAlignment="1">
      <alignment vertical="center"/>
    </xf>
    <xf numFmtId="0" fontId="23" fillId="4" borderId="1" xfId="5" applyFont="1" applyFill="1" applyBorder="1" applyAlignment="1">
      <alignment vertical="center"/>
    </xf>
    <xf numFmtId="0" fontId="23" fillId="4" borderId="20" xfId="5" applyFont="1" applyFill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32" fillId="4" borderId="20" xfId="0" applyFont="1" applyFill="1" applyBorder="1" applyAlignment="1">
      <alignment horizontal="left" vertical="center" wrapText="1"/>
    </xf>
    <xf numFmtId="10" fontId="23" fillId="2" borderId="20" xfId="2" applyNumberFormat="1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vertical="center"/>
    </xf>
    <xf numFmtId="0" fontId="23" fillId="2" borderId="20" xfId="5" applyFont="1" applyFill="1" applyBorder="1" applyAlignment="1">
      <alignment vertical="center"/>
    </xf>
    <xf numFmtId="0" fontId="23" fillId="4" borderId="3" xfId="5" applyFont="1" applyFill="1" applyBorder="1" applyAlignment="1">
      <alignment vertical="center" wrapText="1"/>
    </xf>
    <xf numFmtId="0" fontId="23" fillId="4" borderId="20" xfId="5" applyFont="1" applyFill="1" applyBorder="1" applyAlignment="1">
      <alignment vertical="center" wrapText="1"/>
    </xf>
    <xf numFmtId="10" fontId="23" fillId="2" borderId="20" xfId="2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 wrapText="1"/>
    </xf>
    <xf numFmtId="1" fontId="29" fillId="0" borderId="32" xfId="12" applyNumberFormat="1" applyFont="1" applyBorder="1" applyAlignment="1">
      <alignment horizontal="center" vertical="center" shrinkToFit="1"/>
    </xf>
    <xf numFmtId="0" fontId="27" fillId="2" borderId="10" xfId="15" applyFont="1" applyFill="1" applyBorder="1" applyAlignment="1">
      <alignment horizontal="left" vertical="center" wrapText="1"/>
    </xf>
    <xf numFmtId="0" fontId="27" fillId="0" borderId="10" xfId="12" applyFont="1" applyBorder="1" applyAlignment="1">
      <alignment horizontal="center" vertical="center" wrapText="1"/>
    </xf>
    <xf numFmtId="1" fontId="29" fillId="0" borderId="10" xfId="12" applyNumberFormat="1" applyFont="1" applyBorder="1" applyAlignment="1">
      <alignment horizontal="center" vertical="center" shrinkToFit="1"/>
    </xf>
    <xf numFmtId="165" fontId="29" fillId="0" borderId="10" xfId="12" applyNumberFormat="1" applyFont="1" applyBorder="1" applyAlignment="1">
      <alignment horizontal="center" vertical="center" wrapText="1"/>
    </xf>
    <xf numFmtId="165" fontId="28" fillId="7" borderId="14" xfId="12" applyNumberFormat="1" applyFont="1" applyFill="1" applyBorder="1" applyAlignment="1">
      <alignment horizontal="center" vertical="center" wrapText="1"/>
    </xf>
    <xf numFmtId="0" fontId="28" fillId="5" borderId="40" xfId="0" applyFont="1" applyFill="1" applyBorder="1" applyAlignment="1">
      <alignment horizontal="center" vertical="center" wrapText="1"/>
    </xf>
    <xf numFmtId="0" fontId="28" fillId="5" borderId="46" xfId="0" applyFont="1" applyFill="1" applyBorder="1" applyAlignment="1">
      <alignment horizontal="center" vertical="center" wrapText="1"/>
    </xf>
    <xf numFmtId="0" fontId="28" fillId="5" borderId="47" xfId="0" applyFont="1" applyFill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center" vertical="center"/>
    </xf>
    <xf numFmtId="1" fontId="29" fillId="0" borderId="28" xfId="0" applyNumberFormat="1" applyFont="1" applyBorder="1" applyAlignment="1">
      <alignment horizontal="center" vertical="center" shrinkToFit="1"/>
    </xf>
    <xf numFmtId="165" fontId="27" fillId="0" borderId="28" xfId="7" applyNumberFormat="1" applyFont="1" applyBorder="1" applyAlignment="1">
      <alignment horizontal="center" vertical="center"/>
    </xf>
    <xf numFmtId="165" fontId="27" fillId="0" borderId="29" xfId="7" applyNumberFormat="1" applyFont="1" applyBorder="1" applyAlignment="1">
      <alignment horizontal="center" vertical="center"/>
    </xf>
    <xf numFmtId="0" fontId="27" fillId="2" borderId="31" xfId="0" applyFont="1" applyFill="1" applyBorder="1" applyAlignment="1">
      <alignment horizontal="center" vertical="center" wrapText="1"/>
    </xf>
    <xf numFmtId="0" fontId="36" fillId="0" borderId="28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center" vertical="center"/>
    </xf>
    <xf numFmtId="0" fontId="37" fillId="0" borderId="25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center" vertical="center"/>
    </xf>
    <xf numFmtId="165" fontId="27" fillId="0" borderId="25" xfId="7" applyNumberFormat="1" applyFont="1" applyBorder="1" applyAlignment="1">
      <alignment horizontal="center" vertical="center"/>
    </xf>
    <xf numFmtId="165" fontId="27" fillId="0" borderId="19" xfId="7" applyNumberFormat="1" applyFont="1" applyBorder="1" applyAlignment="1">
      <alignment horizontal="center" vertical="center"/>
    </xf>
    <xf numFmtId="0" fontId="28" fillId="5" borderId="5" xfId="0" applyFont="1" applyFill="1" applyBorder="1" applyAlignment="1">
      <alignment horizontal="center" vertical="center" wrapText="1"/>
    </xf>
    <xf numFmtId="0" fontId="28" fillId="5" borderId="26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center" vertical="center" wrapText="1"/>
    </xf>
    <xf numFmtId="0" fontId="29" fillId="0" borderId="25" xfId="0" applyNumberFormat="1" applyFont="1" applyBorder="1" applyAlignment="1">
      <alignment horizontal="center" vertical="center" shrinkToFit="1"/>
    </xf>
    <xf numFmtId="0" fontId="27" fillId="0" borderId="22" xfId="0" applyFont="1" applyBorder="1" applyAlignment="1">
      <alignment horizontal="center" vertical="center"/>
    </xf>
    <xf numFmtId="0" fontId="37" fillId="0" borderId="4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vertical="center"/>
    </xf>
    <xf numFmtId="0" fontId="29" fillId="0" borderId="4" xfId="0" applyNumberFormat="1" applyFont="1" applyBorder="1" applyAlignment="1">
      <alignment horizontal="center" vertical="center" shrinkToFit="1"/>
    </xf>
    <xf numFmtId="165" fontId="27" fillId="0" borderId="4" xfId="7" applyNumberFormat="1" applyFont="1" applyBorder="1" applyAlignment="1">
      <alignment horizontal="center" vertical="center"/>
    </xf>
    <xf numFmtId="165" fontId="27" fillId="0" borderId="23" xfId="7" applyNumberFormat="1" applyFont="1" applyBorder="1" applyAlignment="1">
      <alignment horizontal="center" vertical="center"/>
    </xf>
    <xf numFmtId="165" fontId="28" fillId="7" borderId="14" xfId="7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4" xfId="0" applyFont="1" applyBorder="1" applyAlignment="1">
      <alignment horizontal="center" vertical="center" wrapText="1"/>
    </xf>
    <xf numFmtId="0" fontId="28" fillId="5" borderId="5" xfId="12" applyFont="1" applyFill="1" applyBorder="1" applyAlignment="1">
      <alignment horizontal="center" vertical="center" wrapText="1"/>
    </xf>
    <xf numFmtId="0" fontId="28" fillId="5" borderId="26" xfId="12" applyFont="1" applyFill="1" applyBorder="1" applyAlignment="1">
      <alignment horizontal="center" vertical="center" wrapText="1"/>
    </xf>
    <xf numFmtId="0" fontId="28" fillId="5" borderId="51" xfId="12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35" fillId="5" borderId="8" xfId="12" applyFont="1" applyFill="1" applyBorder="1" applyAlignment="1">
      <alignment horizontal="center" vertical="center"/>
    </xf>
    <xf numFmtId="0" fontId="35" fillId="5" borderId="6" xfId="12" applyFont="1" applyFill="1" applyBorder="1" applyAlignment="1">
      <alignment horizontal="center" vertical="center"/>
    </xf>
    <xf numFmtId="0" fontId="35" fillId="5" borderId="9" xfId="12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35" fillId="7" borderId="31" xfId="15" applyFont="1" applyFill="1" applyBorder="1" applyAlignment="1">
      <alignment horizontal="center" vertical="center" wrapText="1"/>
    </xf>
    <xf numFmtId="0" fontId="35" fillId="7" borderId="28" xfId="15" applyFont="1" applyFill="1" applyBorder="1" applyAlignment="1">
      <alignment horizontal="center" vertical="center" wrapText="1"/>
    </xf>
    <xf numFmtId="0" fontId="35" fillId="7" borderId="29" xfId="15" applyFont="1" applyFill="1" applyBorder="1" applyAlignment="1">
      <alignment horizontal="center" vertical="center" wrapText="1"/>
    </xf>
    <xf numFmtId="0" fontId="28" fillId="5" borderId="16" xfId="12" applyFont="1" applyFill="1" applyBorder="1" applyAlignment="1">
      <alignment horizontal="center" vertical="center" wrapText="1"/>
    </xf>
    <xf numFmtId="0" fontId="28" fillId="5" borderId="37" xfId="12" applyFont="1" applyFill="1" applyBorder="1" applyAlignment="1">
      <alignment horizontal="center" vertical="center" wrapText="1"/>
    </xf>
    <xf numFmtId="0" fontId="28" fillId="5" borderId="15" xfId="12" applyFont="1" applyFill="1" applyBorder="1" applyAlignment="1">
      <alignment horizontal="center" vertical="center" wrapText="1"/>
    </xf>
    <xf numFmtId="0" fontId="28" fillId="7" borderId="31" xfId="0" applyFont="1" applyFill="1" applyBorder="1" applyAlignment="1">
      <alignment horizontal="center" vertical="center" wrapText="1"/>
    </xf>
    <xf numFmtId="0" fontId="28" fillId="7" borderId="28" xfId="0" applyFont="1" applyFill="1" applyBorder="1" applyAlignment="1">
      <alignment horizontal="center" vertical="center" wrapText="1"/>
    </xf>
    <xf numFmtId="0" fontId="28" fillId="7" borderId="29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3" fillId="0" borderId="38" xfId="12" applyBorder="1" applyAlignment="1">
      <alignment horizontal="center" vertical="top"/>
    </xf>
    <xf numFmtId="0" fontId="33" fillId="0" borderId="0" xfId="12" applyBorder="1" applyAlignment="1">
      <alignment horizontal="center" vertical="top"/>
    </xf>
    <xf numFmtId="0" fontId="33" fillId="0" borderId="39" xfId="12" applyBorder="1" applyAlignment="1">
      <alignment horizontal="center" vertical="top"/>
    </xf>
    <xf numFmtId="4" fontId="31" fillId="0" borderId="1" xfId="0" applyNumberFormat="1" applyFont="1" applyBorder="1" applyAlignment="1">
      <alignment horizontal="center" vertical="center"/>
    </xf>
    <xf numFmtId="4" fontId="31" fillId="0" borderId="42" xfId="0" applyNumberFormat="1" applyFont="1" applyBorder="1" applyAlignment="1">
      <alignment horizontal="center" vertical="center"/>
    </xf>
    <xf numFmtId="4" fontId="31" fillId="0" borderId="2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42" xfId="0" applyNumberFormat="1" applyFont="1" applyBorder="1" applyAlignment="1">
      <alignment horizontal="center" vertical="center"/>
    </xf>
    <xf numFmtId="4" fontId="23" fillId="0" borderId="33" xfId="0" applyNumberFormat="1" applyFont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20" xfId="3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  <xf numFmtId="0" fontId="23" fillId="4" borderId="21" xfId="3" applyFont="1" applyFill="1" applyBorder="1" applyAlignment="1">
      <alignment horizontal="center" vertical="center" wrapText="1"/>
    </xf>
    <xf numFmtId="0" fontId="23" fillId="4" borderId="3" xfId="3" applyFont="1" applyFill="1" applyBorder="1" applyAlignment="1">
      <alignment horizontal="center" vertical="center" wrapText="1"/>
    </xf>
    <xf numFmtId="0" fontId="23" fillId="4" borderId="20" xfId="3" applyFont="1" applyFill="1" applyBorder="1" applyAlignment="1">
      <alignment horizontal="center" vertical="center" wrapText="1"/>
    </xf>
    <xf numFmtId="0" fontId="23" fillId="2" borderId="21" xfId="3" applyFont="1" applyFill="1" applyBorder="1" applyAlignment="1">
      <alignment horizontal="center" vertical="center"/>
    </xf>
    <xf numFmtId="0" fontId="23" fillId="2" borderId="3" xfId="3" applyFont="1" applyFill="1" applyBorder="1" applyAlignment="1">
      <alignment horizontal="center" vertical="center"/>
    </xf>
    <xf numFmtId="0" fontId="23" fillId="2" borderId="20" xfId="3" applyFont="1" applyFill="1" applyBorder="1" applyAlignment="1">
      <alignment horizontal="center" vertical="center"/>
    </xf>
    <xf numFmtId="0" fontId="23" fillId="2" borderId="3" xfId="3" applyFont="1" applyFill="1" applyBorder="1" applyAlignment="1">
      <alignment horizontal="center" vertical="center" wrapText="1"/>
    </xf>
    <xf numFmtId="0" fontId="23" fillId="2" borderId="20" xfId="3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horizontal="left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2" fillId="2" borderId="3" xfId="4" applyFont="1" applyFill="1" applyBorder="1" applyAlignment="1">
      <alignment horizontal="center" vertical="center" wrapText="1"/>
    </xf>
    <xf numFmtId="0" fontId="22" fillId="2" borderId="20" xfId="4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0" xfId="5" applyFont="1" applyFill="1" applyBorder="1" applyAlignment="1">
      <alignment horizontal="center" vertical="center" wrapText="1"/>
    </xf>
    <xf numFmtId="0" fontId="31" fillId="4" borderId="3" xfId="5" applyFont="1" applyFill="1" applyBorder="1" applyAlignment="1">
      <alignment horizontal="left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3" fillId="6" borderId="21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0" fontId="23" fillId="0" borderId="3" xfId="5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4" borderId="3" xfId="5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6" fillId="2" borderId="50" xfId="5" applyFont="1" applyFill="1" applyBorder="1" applyAlignment="1">
      <alignment horizontal="center" vertical="center" wrapText="1"/>
    </xf>
    <xf numFmtId="0" fontId="26" fillId="2" borderId="42" xfId="5" applyFont="1" applyFill="1" applyBorder="1" applyAlignment="1">
      <alignment horizontal="center" vertical="center" wrapText="1"/>
    </xf>
    <xf numFmtId="0" fontId="26" fillId="2" borderId="33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3" fillId="0" borderId="3" xfId="5" applyFont="1" applyBorder="1" applyAlignment="1">
      <alignment horizontal="center" vertical="center"/>
    </xf>
    <xf numFmtId="0" fontId="22" fillId="2" borderId="3" xfId="0" applyFont="1" applyFill="1" applyBorder="1" applyAlignment="1">
      <alignment horizontal="left" vertical="center" wrapText="1"/>
    </xf>
    <xf numFmtId="0" fontId="23" fillId="2" borderId="21" xfId="5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horizontal="center" vertical="center"/>
    </xf>
    <xf numFmtId="0" fontId="22" fillId="2" borderId="3" xfId="5" applyFont="1" applyFill="1" applyBorder="1" applyAlignment="1">
      <alignment horizontal="left" vertical="center" wrapText="1"/>
    </xf>
    <xf numFmtId="0" fontId="32" fillId="2" borderId="3" xfId="5" applyFont="1" applyFill="1" applyBorder="1" applyAlignment="1">
      <alignment horizontal="left" vertical="center" wrapText="1"/>
    </xf>
    <xf numFmtId="0" fontId="23" fillId="0" borderId="21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5" borderId="32" xfId="5" applyFont="1" applyFill="1" applyBorder="1" applyAlignment="1">
      <alignment horizontal="center" vertical="center" wrapText="1"/>
    </xf>
    <xf numFmtId="0" fontId="23" fillId="5" borderId="10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3" borderId="21" xfId="5" applyFont="1" applyFill="1" applyBorder="1" applyAlignment="1">
      <alignment horizontal="center" vertical="center" wrapText="1"/>
    </xf>
    <xf numFmtId="0" fontId="23" fillId="3" borderId="3" xfId="5" applyFont="1" applyFill="1" applyBorder="1" applyAlignment="1">
      <alignment horizontal="center" vertical="center" wrapText="1"/>
    </xf>
    <xf numFmtId="4" fontId="31" fillId="0" borderId="3" xfId="0" applyNumberFormat="1" applyFont="1" applyBorder="1" applyAlignment="1">
      <alignment horizontal="center" vertical="center"/>
    </xf>
    <xf numFmtId="0" fontId="23" fillId="6" borderId="41" xfId="0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42" xfId="5" applyNumberFormat="1" applyFont="1" applyFill="1" applyBorder="1" applyAlignment="1">
      <alignment horizontal="center" vertical="center" wrapText="1"/>
    </xf>
    <xf numFmtId="4" fontId="23" fillId="2" borderId="33" xfId="5" applyNumberFormat="1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2" fillId="0" borderId="2" xfId="5" applyFont="1" applyBorder="1" applyAlignment="1">
      <alignment horizontal="left" vertical="center" wrapText="1"/>
    </xf>
    <xf numFmtId="0" fontId="23" fillId="9" borderId="21" xfId="5" applyFont="1" applyFill="1" applyBorder="1" applyAlignment="1">
      <alignment horizontal="center" vertical="center" wrapText="1"/>
    </xf>
    <xf numFmtId="0" fontId="23" fillId="9" borderId="3" xfId="5" applyFont="1" applyFill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8" borderId="50" xfId="5" applyFont="1" applyFill="1" applyBorder="1" applyAlignment="1">
      <alignment horizontal="center" vertical="center"/>
    </xf>
    <xf numFmtId="0" fontId="23" fillId="8" borderId="42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3" fillId="4" borderId="50" xfId="5" applyFont="1" applyFill="1" applyBorder="1" applyAlignment="1">
      <alignment horizontal="center" vertical="center"/>
    </xf>
    <xf numFmtId="0" fontId="23" fillId="4" borderId="42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8" borderId="21" xfId="5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horizontal="center" vertical="center"/>
    </xf>
    <xf numFmtId="4" fontId="31" fillId="0" borderId="20" xfId="0" applyNumberFormat="1" applyFont="1" applyBorder="1" applyAlignment="1">
      <alignment horizontal="center" vertical="center"/>
    </xf>
    <xf numFmtId="0" fontId="23" fillId="2" borderId="3" xfId="0" applyFont="1" applyFill="1" applyBorder="1" applyAlignment="1">
      <alignment horizontal="right" vertical="center"/>
    </xf>
    <xf numFmtId="0" fontId="23" fillId="2" borderId="20" xfId="0" applyFont="1" applyFill="1" applyBorder="1" applyAlignment="1">
      <alignment horizontal="right" vertical="center"/>
    </xf>
    <xf numFmtId="4" fontId="23" fillId="2" borderId="3" xfId="5" applyNumberFormat="1" applyFont="1" applyFill="1" applyBorder="1" applyAlignment="1">
      <alignment horizontal="center" vertical="center" wrapText="1"/>
    </xf>
    <xf numFmtId="4" fontId="23" fillId="2" borderId="20" xfId="5" applyNumberFormat="1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" fontId="31" fillId="0" borderId="33" xfId="0" applyNumberFormat="1" applyFont="1" applyBorder="1" applyAlignment="1">
      <alignment horizontal="center" vertical="center"/>
    </xf>
    <xf numFmtId="0" fontId="23" fillId="8" borderId="20" xfId="5" applyFont="1" applyFill="1" applyBorder="1" applyAlignment="1">
      <alignment horizontal="center" vertical="center"/>
    </xf>
    <xf numFmtId="0" fontId="26" fillId="2" borderId="21" xfId="5" applyFont="1" applyFill="1" applyBorder="1" applyAlignment="1">
      <alignment horizontal="center" vertical="center" wrapText="1"/>
    </xf>
    <xf numFmtId="0" fontId="26" fillId="2" borderId="3" xfId="5" applyFont="1" applyFill="1" applyBorder="1" applyAlignment="1">
      <alignment horizontal="center" vertical="center" wrapText="1"/>
    </xf>
    <xf numFmtId="0" fontId="26" fillId="2" borderId="20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5" borderId="43" xfId="5" applyFont="1" applyFill="1" applyBorder="1" applyAlignment="1">
      <alignment horizontal="center" vertical="center" wrapText="1"/>
    </xf>
    <xf numFmtId="0" fontId="23" fillId="5" borderId="44" xfId="5" applyFont="1" applyFill="1" applyBorder="1" applyAlignment="1">
      <alignment horizontal="center" vertical="center" wrapText="1"/>
    </xf>
    <xf numFmtId="0" fontId="23" fillId="5" borderId="45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 wrapText="1"/>
    </xf>
    <xf numFmtId="0" fontId="23" fillId="2" borderId="20" xfId="5" applyFont="1" applyFill="1" applyBorder="1" applyAlignment="1">
      <alignment horizontal="center" vertical="center"/>
    </xf>
    <xf numFmtId="0" fontId="31" fillId="6" borderId="21" xfId="5" applyFont="1" applyFill="1" applyBorder="1" applyAlignment="1">
      <alignment horizontal="center" vertical="center" wrapText="1"/>
    </xf>
    <xf numFmtId="0" fontId="31" fillId="6" borderId="3" xfId="5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165" fontId="31" fillId="0" borderId="33" xfId="0" applyNumberFormat="1" applyFont="1" applyBorder="1" applyAlignment="1">
      <alignment horizontal="center" vertical="center"/>
    </xf>
    <xf numFmtId="0" fontId="26" fillId="2" borderId="1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1" fillId="7" borderId="18" xfId="0" applyFont="1" applyFill="1" applyBorder="1" applyAlignment="1">
      <alignment horizontal="center"/>
    </xf>
    <xf numFmtId="0" fontId="31" fillId="7" borderId="35" xfId="0" applyFont="1" applyFill="1" applyBorder="1" applyAlignment="1">
      <alignment horizontal="center"/>
    </xf>
    <xf numFmtId="0" fontId="31" fillId="7" borderId="17" xfId="0" applyFont="1" applyFill="1" applyBorder="1" applyAlignment="1">
      <alignment horizontal="center"/>
    </xf>
    <xf numFmtId="0" fontId="2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34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/>
    </xf>
    <xf numFmtId="0" fontId="28" fillId="5" borderId="6" xfId="0" applyFont="1" applyFill="1" applyBorder="1" applyAlignment="1">
      <alignment horizontal="center" vertical="center"/>
    </xf>
    <xf numFmtId="0" fontId="28" fillId="5" borderId="9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8" fillId="7" borderId="5" xfId="0" applyFont="1" applyFill="1" applyBorder="1" applyAlignment="1">
      <alignment horizontal="center" vertical="center"/>
    </xf>
    <xf numFmtId="0" fontId="28" fillId="7" borderId="26" xfId="0" applyFont="1" applyFill="1" applyBorder="1" applyAlignment="1">
      <alignment horizontal="center" vertical="center"/>
    </xf>
    <xf numFmtId="0" fontId="28" fillId="7" borderId="7" xfId="0" applyFont="1" applyFill="1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center" wrapText="1"/>
    </xf>
    <xf numFmtId="0" fontId="28" fillId="7" borderId="6" xfId="0" applyFont="1" applyFill="1" applyBorder="1" applyAlignment="1">
      <alignment horizontal="center" vertical="center" wrapText="1"/>
    </xf>
    <xf numFmtId="0" fontId="28" fillId="7" borderId="9" xfId="0" applyFont="1" applyFill="1" applyBorder="1" applyAlignment="1">
      <alignment horizontal="center" vertical="center" wrapText="1"/>
    </xf>
    <xf numFmtId="0" fontId="27" fillId="2" borderId="38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3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top" wrapText="1"/>
    </xf>
    <xf numFmtId="0" fontId="28" fillId="7" borderId="6" xfId="0" applyFont="1" applyFill="1" applyBorder="1" applyAlignment="1">
      <alignment horizontal="center" vertical="top" wrapText="1"/>
    </xf>
    <xf numFmtId="0" fontId="28" fillId="7" borderId="9" xfId="0" applyFont="1" applyFill="1" applyBorder="1" applyAlignment="1">
      <alignment horizontal="center" vertical="top" wrapText="1"/>
    </xf>
    <xf numFmtId="0" fontId="28" fillId="7" borderId="40" xfId="0" applyFont="1" applyFill="1" applyBorder="1" applyAlignment="1">
      <alignment horizontal="center" vertical="center" wrapText="1"/>
    </xf>
    <xf numFmtId="0" fontId="28" fillId="7" borderId="46" xfId="0" applyFont="1" applyFill="1" applyBorder="1" applyAlignment="1">
      <alignment horizontal="center" vertical="center" wrapText="1"/>
    </xf>
    <xf numFmtId="0" fontId="28" fillId="7" borderId="47" xfId="0" applyFont="1" applyFill="1" applyBorder="1" applyAlignment="1">
      <alignment horizontal="center" vertical="center" wrapText="1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53</v>
      </c>
    </row>
    <row r="2" spans="1:5" ht="21" x14ac:dyDescent="0.35">
      <c r="A2" s="350" t="s">
        <v>54</v>
      </c>
      <c r="B2" s="350"/>
      <c r="C2" s="350"/>
      <c r="E2" s="2" t="s">
        <v>55</v>
      </c>
    </row>
    <row r="3" spans="1:5" ht="174" customHeight="1" x14ac:dyDescent="0.3">
      <c r="A3" s="349" t="s">
        <v>56</v>
      </c>
      <c r="B3" s="349"/>
      <c r="C3" s="349"/>
      <c r="E3" s="4" t="s">
        <v>57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51" t="s">
        <v>58</v>
      </c>
      <c r="B5" s="352"/>
      <c r="C5" s="353"/>
      <c r="E5" s="7" t="s">
        <v>59</v>
      </c>
    </row>
    <row r="6" spans="1:5" ht="22.5" x14ac:dyDescent="0.25">
      <c r="A6" s="354" t="s">
        <v>60</v>
      </c>
      <c r="B6" s="354" t="s">
        <v>61</v>
      </c>
      <c r="C6" s="8" t="s">
        <v>62</v>
      </c>
      <c r="E6" s="7" t="s">
        <v>63</v>
      </c>
    </row>
    <row r="7" spans="1:5" ht="15.75" customHeight="1" thickBot="1" x14ac:dyDescent="0.3">
      <c r="A7" s="355"/>
      <c r="B7" s="355"/>
      <c r="C7" s="9" t="s">
        <v>64</v>
      </c>
      <c r="E7" s="7" t="s">
        <v>65</v>
      </c>
    </row>
    <row r="8" spans="1:5" ht="15.75" thickBot="1" x14ac:dyDescent="0.3">
      <c r="A8" s="10" t="s">
        <v>66</v>
      </c>
      <c r="B8" s="8">
        <v>30</v>
      </c>
      <c r="C8" s="8">
        <v>7</v>
      </c>
      <c r="D8">
        <f>(7/30)/12</f>
        <v>1.94444444444444E-2</v>
      </c>
      <c r="E8" s="11" t="s">
        <v>67</v>
      </c>
    </row>
    <row r="9" spans="1:5" ht="13.5" customHeight="1" x14ac:dyDescent="0.25">
      <c r="A9" s="12" t="s">
        <v>68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69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70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71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72</v>
      </c>
      <c r="B13" s="13">
        <v>45</v>
      </c>
      <c r="C13" s="13">
        <v>11</v>
      </c>
      <c r="D13">
        <f t="shared" si="0"/>
        <v>8.3333333333333297E-3</v>
      </c>
      <c r="E13" t="s">
        <v>94</v>
      </c>
    </row>
    <row r="14" spans="1:5" x14ac:dyDescent="0.25">
      <c r="A14" s="12" t="s">
        <v>73</v>
      </c>
      <c r="B14" s="13">
        <v>48</v>
      </c>
      <c r="C14" s="13">
        <v>11</v>
      </c>
      <c r="E14" t="s">
        <v>52</v>
      </c>
    </row>
    <row r="15" spans="1:5" x14ac:dyDescent="0.25">
      <c r="A15" s="12" t="s">
        <v>74</v>
      </c>
      <c r="B15" s="13">
        <v>51</v>
      </c>
      <c r="C15" s="13">
        <v>12</v>
      </c>
    </row>
    <row r="16" spans="1:5" x14ac:dyDescent="0.25">
      <c r="A16" s="12" t="s">
        <v>75</v>
      </c>
      <c r="B16" s="13">
        <v>54</v>
      </c>
      <c r="C16" s="13">
        <v>13</v>
      </c>
    </row>
    <row r="17" spans="1:5" x14ac:dyDescent="0.25">
      <c r="A17" s="12" t="s">
        <v>76</v>
      </c>
      <c r="B17" s="13">
        <v>57</v>
      </c>
      <c r="C17" s="13">
        <v>13</v>
      </c>
    </row>
    <row r="18" spans="1:5" x14ac:dyDescent="0.25">
      <c r="A18" s="12" t="s">
        <v>77</v>
      </c>
      <c r="B18" s="13">
        <v>60</v>
      </c>
      <c r="C18" s="13">
        <v>14</v>
      </c>
    </row>
    <row r="19" spans="1:5" x14ac:dyDescent="0.25">
      <c r="A19" s="12" t="s">
        <v>78</v>
      </c>
      <c r="B19" s="13">
        <v>63</v>
      </c>
      <c r="C19" s="13">
        <v>15</v>
      </c>
    </row>
    <row r="20" spans="1:5" x14ac:dyDescent="0.25">
      <c r="A20" s="12" t="s">
        <v>79</v>
      </c>
      <c r="B20" s="13">
        <v>66</v>
      </c>
      <c r="C20" s="13">
        <v>15</v>
      </c>
    </row>
    <row r="21" spans="1:5" x14ac:dyDescent="0.25">
      <c r="A21" s="12" t="s">
        <v>80</v>
      </c>
      <c r="B21" s="13">
        <v>69</v>
      </c>
      <c r="C21" s="13">
        <v>16</v>
      </c>
    </row>
    <row r="22" spans="1:5" x14ac:dyDescent="0.25">
      <c r="A22" s="12" t="s">
        <v>81</v>
      </c>
      <c r="B22" s="13">
        <v>72</v>
      </c>
      <c r="C22" s="13">
        <v>17</v>
      </c>
    </row>
    <row r="23" spans="1:5" x14ac:dyDescent="0.25">
      <c r="A23" s="12" t="s">
        <v>82</v>
      </c>
      <c r="B23" s="13">
        <v>75</v>
      </c>
      <c r="C23" s="13">
        <v>18</v>
      </c>
    </row>
    <row r="24" spans="1:5" x14ac:dyDescent="0.25">
      <c r="A24" s="12" t="s">
        <v>83</v>
      </c>
      <c r="B24" s="13">
        <v>78</v>
      </c>
      <c r="C24" s="13">
        <v>18</v>
      </c>
    </row>
    <row r="25" spans="1:5" x14ac:dyDescent="0.25">
      <c r="A25" s="12" t="s">
        <v>84</v>
      </c>
      <c r="B25" s="13">
        <v>81</v>
      </c>
      <c r="C25" s="13">
        <v>19</v>
      </c>
    </row>
    <row r="26" spans="1:5" x14ac:dyDescent="0.25">
      <c r="A26" s="12" t="s">
        <v>85</v>
      </c>
      <c r="B26" s="13">
        <v>84</v>
      </c>
      <c r="C26" s="13">
        <v>20</v>
      </c>
    </row>
    <row r="27" spans="1:5" x14ac:dyDescent="0.25">
      <c r="A27" s="12" t="s">
        <v>86</v>
      </c>
      <c r="B27" s="13">
        <v>87</v>
      </c>
      <c r="C27" s="13">
        <v>20</v>
      </c>
    </row>
    <row r="28" spans="1:5" ht="15.75" thickBot="1" x14ac:dyDescent="0.3">
      <c r="A28" s="16" t="s">
        <v>87</v>
      </c>
      <c r="B28" s="9">
        <v>90</v>
      </c>
      <c r="C28" s="9">
        <v>21</v>
      </c>
      <c r="E28" s="17" t="s">
        <v>88</v>
      </c>
    </row>
    <row r="29" spans="1:5" ht="18.75" x14ac:dyDescent="0.3">
      <c r="A29" s="5"/>
    </row>
    <row r="30" spans="1:5" ht="145.5" customHeight="1" x14ac:dyDescent="0.3">
      <c r="A30" s="356" t="s">
        <v>89</v>
      </c>
      <c r="B30" s="356"/>
      <c r="C30" s="356"/>
    </row>
    <row r="31" spans="1:5" ht="18.75" x14ac:dyDescent="0.3">
      <c r="A31" s="5"/>
    </row>
    <row r="32" spans="1:5" ht="18.75" x14ac:dyDescent="0.3">
      <c r="A32" s="18" t="s">
        <v>90</v>
      </c>
    </row>
    <row r="33" spans="1:3" ht="18.75" x14ac:dyDescent="0.3">
      <c r="A33" s="5"/>
    </row>
    <row r="34" spans="1:3" x14ac:dyDescent="0.25">
      <c r="A34" s="349" t="s">
        <v>91</v>
      </c>
      <c r="B34" s="349"/>
      <c r="C34" s="349"/>
    </row>
    <row r="35" spans="1:3" x14ac:dyDescent="0.25">
      <c r="A35" s="349"/>
      <c r="B35" s="349"/>
      <c r="C35" s="349"/>
    </row>
    <row r="36" spans="1:3" x14ac:dyDescent="0.25">
      <c r="A36" s="349" t="s">
        <v>92</v>
      </c>
      <c r="B36" s="349"/>
      <c r="C36" s="349"/>
    </row>
    <row r="37" spans="1:3" x14ac:dyDescent="0.25">
      <c r="A37" s="349"/>
      <c r="B37" s="349"/>
      <c r="C37" s="349"/>
    </row>
    <row r="40" spans="1:3" x14ac:dyDescent="0.25">
      <c r="A40" s="19" t="s">
        <v>93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A1:E124"/>
  <sheetViews>
    <sheetView view="pageBreakPreview" topLeftCell="A103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93"/>
      <c r="B1" s="394"/>
      <c r="C1" s="394"/>
      <c r="D1" s="445"/>
      <c r="E1" s="395"/>
    </row>
    <row r="2" spans="1:5" s="38" customFormat="1" ht="16.5" customHeight="1" x14ac:dyDescent="0.25">
      <c r="A2" s="396" t="s">
        <v>132</v>
      </c>
      <c r="B2" s="397"/>
      <c r="C2" s="397"/>
      <c r="D2" s="446"/>
      <c r="E2" s="398"/>
    </row>
    <row r="3" spans="1:5" s="38" customFormat="1" x14ac:dyDescent="0.25">
      <c r="A3" s="399" t="s">
        <v>129</v>
      </c>
      <c r="B3" s="400"/>
      <c r="C3" s="400"/>
      <c r="D3" s="447"/>
      <c r="E3" s="401"/>
    </row>
    <row r="4" spans="1:5" s="38" customFormat="1" ht="15" customHeight="1" x14ac:dyDescent="0.25">
      <c r="A4" s="40" t="s">
        <v>0</v>
      </c>
      <c r="B4" s="41" t="s">
        <v>1</v>
      </c>
      <c r="C4" s="402">
        <v>2024</v>
      </c>
      <c r="D4" s="402"/>
      <c r="E4" s="403"/>
    </row>
    <row r="5" spans="1:5" s="38" customFormat="1" ht="75" customHeight="1" x14ac:dyDescent="0.25">
      <c r="A5" s="40" t="s">
        <v>2</v>
      </c>
      <c r="B5" s="41" t="s">
        <v>140</v>
      </c>
      <c r="C5" s="391" t="s">
        <v>268</v>
      </c>
      <c r="D5" s="391"/>
      <c r="E5" s="392"/>
    </row>
    <row r="6" spans="1:5" s="38" customFormat="1" ht="15.75" customHeight="1" x14ac:dyDescent="0.25">
      <c r="A6" s="40" t="s">
        <v>3</v>
      </c>
      <c r="B6" s="41" t="s">
        <v>4</v>
      </c>
      <c r="C6" s="391"/>
      <c r="D6" s="391"/>
      <c r="E6" s="392"/>
    </row>
    <row r="7" spans="1:5" s="38" customFormat="1" x14ac:dyDescent="0.25">
      <c r="A7" s="40" t="s">
        <v>5</v>
      </c>
      <c r="B7" s="41" t="s">
        <v>143</v>
      </c>
      <c r="C7" s="391">
        <v>12</v>
      </c>
      <c r="D7" s="391"/>
      <c r="E7" s="392"/>
    </row>
    <row r="8" spans="1:5" s="38" customFormat="1" x14ac:dyDescent="0.25">
      <c r="A8" s="399" t="s">
        <v>6</v>
      </c>
      <c r="B8" s="400"/>
      <c r="C8" s="400"/>
      <c r="D8" s="447"/>
      <c r="E8" s="401"/>
    </row>
    <row r="9" spans="1:5" s="38" customFormat="1" x14ac:dyDescent="0.25">
      <c r="A9" s="399" t="s">
        <v>7</v>
      </c>
      <c r="B9" s="400"/>
      <c r="C9" s="400"/>
      <c r="D9" s="447"/>
      <c r="E9" s="401"/>
    </row>
    <row r="10" spans="1:5" s="38" customFormat="1" ht="15.75" customHeight="1" x14ac:dyDescent="0.25">
      <c r="A10" s="399" t="s">
        <v>8</v>
      </c>
      <c r="B10" s="400"/>
      <c r="C10" s="400"/>
      <c r="D10" s="447"/>
      <c r="E10" s="401"/>
    </row>
    <row r="11" spans="1:5" s="38" customFormat="1" ht="30" customHeight="1" x14ac:dyDescent="0.25">
      <c r="A11" s="407" t="s">
        <v>9</v>
      </c>
      <c r="B11" s="408"/>
      <c r="C11" s="408"/>
      <c r="D11" s="449" t="s">
        <v>10</v>
      </c>
      <c r="E11" s="451"/>
    </row>
    <row r="12" spans="1:5" s="38" customFormat="1" ht="60" customHeight="1" x14ac:dyDescent="0.25">
      <c r="A12" s="40">
        <v>1</v>
      </c>
      <c r="B12" s="42" t="s">
        <v>133</v>
      </c>
      <c r="C12" s="409" t="s">
        <v>269</v>
      </c>
      <c r="D12" s="409"/>
      <c r="E12" s="410"/>
    </row>
    <row r="13" spans="1:5" s="38" customFormat="1" ht="30" customHeight="1" x14ac:dyDescent="0.25">
      <c r="A13" s="40">
        <v>2</v>
      </c>
      <c r="B13" s="42" t="s">
        <v>11</v>
      </c>
      <c r="C13" s="489">
        <f>(13581.68+(13581.68*10.18%)+(14964.25*8.9%)+(16296.07*6.97%))</f>
        <v>17431.95</v>
      </c>
      <c r="D13" s="490"/>
      <c r="E13" s="491"/>
    </row>
    <row r="14" spans="1:5" s="38" customFormat="1" ht="15.75" customHeight="1" x14ac:dyDescent="0.25">
      <c r="A14" s="40">
        <v>3</v>
      </c>
      <c r="B14" s="42" t="s">
        <v>12</v>
      </c>
      <c r="C14" s="409" t="s">
        <v>274</v>
      </c>
      <c r="D14" s="409"/>
      <c r="E14" s="410"/>
    </row>
    <row r="15" spans="1:5" s="38" customFormat="1" x14ac:dyDescent="0.25">
      <c r="A15" s="40">
        <v>4</v>
      </c>
      <c r="B15" s="43" t="s">
        <v>13</v>
      </c>
      <c r="C15" s="411"/>
      <c r="D15" s="488"/>
      <c r="E15" s="412"/>
    </row>
    <row r="16" spans="1:5" s="39" customFormat="1" x14ac:dyDescent="0.25">
      <c r="A16" s="404" t="s">
        <v>14</v>
      </c>
      <c r="B16" s="405"/>
      <c r="C16" s="405"/>
      <c r="D16" s="215" t="s">
        <v>275</v>
      </c>
      <c r="E16" s="216" t="s">
        <v>266</v>
      </c>
    </row>
    <row r="17" spans="1:5" s="39" customFormat="1" x14ac:dyDescent="0.25">
      <c r="A17" s="44">
        <v>1</v>
      </c>
      <c r="B17" s="406" t="s">
        <v>15</v>
      </c>
      <c r="C17" s="406"/>
      <c r="D17" s="61" t="s">
        <v>10</v>
      </c>
      <c r="E17" s="133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17431.95</v>
      </c>
      <c r="E18" s="128">
        <f>C13</f>
        <v>17431.95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134"/>
    </row>
    <row r="20" spans="1:5" s="38" customFormat="1" ht="15.75" customHeight="1" x14ac:dyDescent="0.25">
      <c r="A20" s="45" t="s">
        <v>3</v>
      </c>
      <c r="B20" s="46" t="s">
        <v>18</v>
      </c>
      <c r="C20" s="115" t="s">
        <v>244</v>
      </c>
      <c r="D20" s="83">
        <f>40%*1412</f>
        <v>564.79999999999995</v>
      </c>
      <c r="E20" s="134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/>
      <c r="E21" s="134"/>
    </row>
    <row r="22" spans="1:5" s="38" customFormat="1" ht="15.75" customHeight="1" x14ac:dyDescent="0.25">
      <c r="A22" s="45" t="s">
        <v>20</v>
      </c>
      <c r="B22" s="46" t="s">
        <v>203</v>
      </c>
      <c r="C22" s="82"/>
      <c r="D22" s="83"/>
      <c r="E22" s="134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134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134"/>
    </row>
    <row r="25" spans="1:5" s="39" customFormat="1" ht="15.75" customHeight="1" x14ac:dyDescent="0.25">
      <c r="A25" s="418" t="s">
        <v>152</v>
      </c>
      <c r="B25" s="419"/>
      <c r="C25" s="419"/>
      <c r="D25" s="70">
        <f>SUM(D18:D24)</f>
        <v>17996.75</v>
      </c>
      <c r="E25" s="135">
        <f>SUM(E18:E24)</f>
        <v>17996.75</v>
      </c>
    </row>
    <row r="26" spans="1:5" s="39" customFormat="1" x14ac:dyDescent="0.25">
      <c r="A26" s="404" t="s">
        <v>51</v>
      </c>
      <c r="B26" s="405"/>
      <c r="C26" s="405"/>
      <c r="D26" s="183"/>
      <c r="E26" s="150"/>
    </row>
    <row r="27" spans="1:5" s="38" customFormat="1" x14ac:dyDescent="0.25">
      <c r="A27" s="52">
        <v>2</v>
      </c>
      <c r="B27" s="420" t="s">
        <v>204</v>
      </c>
      <c r="C27" s="421"/>
      <c r="D27" s="74" t="s">
        <v>10</v>
      </c>
      <c r="E27" s="137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1499.13</v>
      </c>
      <c r="E28" s="129">
        <f>(E25)*C28</f>
        <v>1499.13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1999.44</v>
      </c>
      <c r="E29" s="129">
        <f>(E25)*C29</f>
        <v>1999.44</v>
      </c>
    </row>
    <row r="30" spans="1:5" x14ac:dyDescent="0.25">
      <c r="A30" s="416" t="s">
        <v>27</v>
      </c>
      <c r="B30" s="417"/>
      <c r="C30" s="99">
        <f>SUM(C28:C29)</f>
        <v>0.19439999999999999</v>
      </c>
      <c r="D30" s="86">
        <f>SUM(D28:D29)</f>
        <v>3498.57</v>
      </c>
      <c r="E30" s="130">
        <f>SUM(E28:E29)</f>
        <v>3498.57</v>
      </c>
    </row>
    <row r="31" spans="1:5" ht="32.25" customHeight="1" x14ac:dyDescent="0.25">
      <c r="A31" s="476" t="s">
        <v>205</v>
      </c>
      <c r="B31" s="477"/>
      <c r="C31" s="477"/>
      <c r="D31" s="492"/>
      <c r="E31" s="478"/>
    </row>
    <row r="32" spans="1:5" x14ac:dyDescent="0.25">
      <c r="A32" s="77" t="s">
        <v>214</v>
      </c>
      <c r="B32" s="422" t="s">
        <v>25</v>
      </c>
      <c r="C32" s="423"/>
      <c r="D32" s="75" t="s">
        <v>10</v>
      </c>
      <c r="E32" s="136" t="s">
        <v>10</v>
      </c>
    </row>
    <row r="33" spans="1:5" x14ac:dyDescent="0.25">
      <c r="A33" s="50" t="s">
        <v>0</v>
      </c>
      <c r="B33" s="87" t="s">
        <v>206</v>
      </c>
      <c r="C33" s="59">
        <v>0.2</v>
      </c>
      <c r="D33" s="84">
        <f>(D25+D30)*C33</f>
        <v>4299.0600000000004</v>
      </c>
      <c r="E33" s="129">
        <f>(E25+E30)*C33</f>
        <v>4299.0600000000004</v>
      </c>
    </row>
    <row r="34" spans="1:5" x14ac:dyDescent="0.25">
      <c r="A34" s="50" t="s">
        <v>2</v>
      </c>
      <c r="B34" s="87" t="s">
        <v>207</v>
      </c>
      <c r="C34" s="88">
        <v>1.4999999999999999E-2</v>
      </c>
      <c r="D34" s="84">
        <f>(D25+D30)*C34</f>
        <v>322.43</v>
      </c>
      <c r="E34" s="129">
        <f>(E25+E30)*C34</f>
        <v>322.43</v>
      </c>
    </row>
    <row r="35" spans="1:5" x14ac:dyDescent="0.25">
      <c r="A35" s="50" t="s">
        <v>3</v>
      </c>
      <c r="B35" s="87" t="s">
        <v>208</v>
      </c>
      <c r="C35" s="88">
        <v>0.01</v>
      </c>
      <c r="D35" s="84">
        <f>(D25+D30)*C35</f>
        <v>214.95</v>
      </c>
      <c r="E35" s="129">
        <f>(E25+E30)*C35</f>
        <v>214.95</v>
      </c>
    </row>
    <row r="36" spans="1:5" ht="31.5" x14ac:dyDescent="0.25">
      <c r="A36" s="50" t="s">
        <v>5</v>
      </c>
      <c r="B36" s="73" t="s">
        <v>209</v>
      </c>
      <c r="C36" s="88">
        <v>2E-3</v>
      </c>
      <c r="D36" s="84">
        <f>(D25+D30)*C36</f>
        <v>42.99</v>
      </c>
      <c r="E36" s="129">
        <f>(E25+E30)*C36</f>
        <v>42.99</v>
      </c>
    </row>
    <row r="37" spans="1:5" x14ac:dyDescent="0.25">
      <c r="A37" s="50" t="s">
        <v>20</v>
      </c>
      <c r="B37" s="87" t="s">
        <v>210</v>
      </c>
      <c r="C37" s="88">
        <v>2.5000000000000001E-2</v>
      </c>
      <c r="D37" s="84">
        <f>(D25+D30)*C37</f>
        <v>537.38</v>
      </c>
      <c r="E37" s="129">
        <f>(E25+E30)*C37</f>
        <v>537.38</v>
      </c>
    </row>
    <row r="38" spans="1:5" x14ac:dyDescent="0.25">
      <c r="A38" s="50" t="s">
        <v>21</v>
      </c>
      <c r="B38" s="114" t="s">
        <v>211</v>
      </c>
      <c r="C38" s="88">
        <v>0.08</v>
      </c>
      <c r="D38" s="84">
        <f>(D25+D30)*C38</f>
        <v>1719.63</v>
      </c>
      <c r="E38" s="129">
        <f>(E25+E30)*C38</f>
        <v>1719.63</v>
      </c>
    </row>
    <row r="39" spans="1:5" ht="30.75" customHeight="1" x14ac:dyDescent="0.25">
      <c r="A39" s="50" t="s">
        <v>22</v>
      </c>
      <c r="B39" s="73" t="s">
        <v>212</v>
      </c>
      <c r="C39" s="88">
        <v>0.03</v>
      </c>
      <c r="D39" s="84">
        <f>(D25+D30)*C39</f>
        <v>644.86</v>
      </c>
      <c r="E39" s="129">
        <f>(E25+E30)*C39</f>
        <v>644.86</v>
      </c>
    </row>
    <row r="40" spans="1:5" x14ac:dyDescent="0.25">
      <c r="A40" s="50" t="s">
        <v>26</v>
      </c>
      <c r="B40" s="113" t="s">
        <v>213</v>
      </c>
      <c r="C40" s="88">
        <v>6.0000000000000001E-3</v>
      </c>
      <c r="D40" s="84">
        <f>(D25+D30)*C40</f>
        <v>128.97</v>
      </c>
      <c r="E40" s="129">
        <f>(E25+E30)*C40</f>
        <v>128.97</v>
      </c>
    </row>
    <row r="41" spans="1:5" s="30" customFormat="1" x14ac:dyDescent="0.25">
      <c r="A41" s="416" t="s">
        <v>27</v>
      </c>
      <c r="B41" s="417"/>
      <c r="C41" s="60">
        <f>SUM(C33:C40)</f>
        <v>0.36799999999999999</v>
      </c>
      <c r="D41" s="86">
        <f>SUM(D33:D40)</f>
        <v>7910.27</v>
      </c>
      <c r="E41" s="130">
        <f>SUM(E33:E40)</f>
        <v>7910.27</v>
      </c>
    </row>
    <row r="42" spans="1:5" s="30" customFormat="1" x14ac:dyDescent="0.25">
      <c r="A42" s="80" t="s">
        <v>215</v>
      </c>
      <c r="B42" s="414" t="s">
        <v>216</v>
      </c>
      <c r="C42" s="415"/>
      <c r="D42" s="111" t="s">
        <v>10</v>
      </c>
      <c r="E42" s="144" t="s">
        <v>10</v>
      </c>
    </row>
    <row r="43" spans="1:5" s="30" customFormat="1" x14ac:dyDescent="0.25">
      <c r="A43" s="98" t="s">
        <v>0</v>
      </c>
      <c r="B43" s="56" t="s">
        <v>144</v>
      </c>
      <c r="C43" s="112"/>
      <c r="D43" s="83">
        <v>0</v>
      </c>
      <c r="E43" s="83">
        <v>0</v>
      </c>
    </row>
    <row r="44" spans="1:5" s="30" customFormat="1" x14ac:dyDescent="0.25">
      <c r="A44" s="48" t="s">
        <v>2</v>
      </c>
      <c r="B44" s="47" t="s">
        <v>217</v>
      </c>
      <c r="C44" s="79"/>
      <c r="D44" s="83">
        <v>0</v>
      </c>
      <c r="E44" s="83">
        <v>0</v>
      </c>
    </row>
    <row r="45" spans="1:5" s="30" customFormat="1" x14ac:dyDescent="0.25">
      <c r="A45" s="50" t="s">
        <v>5</v>
      </c>
      <c r="B45" s="51" t="s">
        <v>134</v>
      </c>
      <c r="C45" s="90"/>
      <c r="D45" s="83">
        <v>0</v>
      </c>
      <c r="E45" s="83">
        <v>0</v>
      </c>
    </row>
    <row r="46" spans="1:5" s="30" customFormat="1" x14ac:dyDescent="0.25">
      <c r="A46" s="50" t="s">
        <v>20</v>
      </c>
      <c r="B46" s="51" t="s">
        <v>135</v>
      </c>
      <c r="C46" s="59"/>
      <c r="D46" s="83">
        <v>0</v>
      </c>
      <c r="E46" s="83">
        <v>0</v>
      </c>
    </row>
    <row r="47" spans="1:5" s="30" customFormat="1" x14ac:dyDescent="0.25">
      <c r="A47" s="50" t="s">
        <v>21</v>
      </c>
      <c r="B47" s="51" t="s">
        <v>136</v>
      </c>
      <c r="C47" s="90"/>
      <c r="D47" s="83">
        <v>0</v>
      </c>
      <c r="E47" s="83">
        <v>0</v>
      </c>
    </row>
    <row r="48" spans="1:5" s="30" customFormat="1" ht="15.75" customHeight="1" x14ac:dyDescent="0.25">
      <c r="A48" s="416" t="s">
        <v>23</v>
      </c>
      <c r="B48" s="417"/>
      <c r="C48" s="417"/>
      <c r="D48" s="86">
        <f>SUM(D43:D47)</f>
        <v>0</v>
      </c>
      <c r="E48" s="130">
        <f>SUM(E43:E47)</f>
        <v>0</v>
      </c>
    </row>
    <row r="49" spans="1:5" s="30" customFormat="1" ht="15.75" customHeight="1" x14ac:dyDescent="0.25">
      <c r="A49" s="404" t="s">
        <v>151</v>
      </c>
      <c r="B49" s="405"/>
      <c r="C49" s="405"/>
      <c r="D49" s="493"/>
      <c r="E49" s="479"/>
    </row>
    <row r="50" spans="1:5" s="30" customFormat="1" ht="15.75" customHeight="1" x14ac:dyDescent="0.25">
      <c r="A50" s="44" t="s">
        <v>141</v>
      </c>
      <c r="B50" s="104" t="s">
        <v>145</v>
      </c>
      <c r="C50" s="57"/>
      <c r="D50" s="69">
        <f>D30</f>
        <v>3498.57</v>
      </c>
      <c r="E50" s="138">
        <f>E30</f>
        <v>3498.57</v>
      </c>
    </row>
    <row r="51" spans="1:5" s="30" customFormat="1" ht="15.75" customHeight="1" x14ac:dyDescent="0.25">
      <c r="A51" s="44" t="s">
        <v>214</v>
      </c>
      <c r="B51" s="104" t="s">
        <v>146</v>
      </c>
      <c r="C51" s="57"/>
      <c r="D51" s="69">
        <f>D41</f>
        <v>7910.27</v>
      </c>
      <c r="E51" s="138">
        <f>E41</f>
        <v>7910.27</v>
      </c>
    </row>
    <row r="52" spans="1:5" s="30" customFormat="1" ht="15.75" customHeight="1" x14ac:dyDescent="0.25">
      <c r="A52" s="44" t="s">
        <v>215</v>
      </c>
      <c r="B52" s="104" t="s">
        <v>147</v>
      </c>
      <c r="C52" s="57"/>
      <c r="D52" s="69">
        <f>D48</f>
        <v>0</v>
      </c>
      <c r="E52" s="138">
        <f>E48</f>
        <v>0</v>
      </c>
    </row>
    <row r="53" spans="1:5" s="30" customFormat="1" ht="15.75" customHeight="1" x14ac:dyDescent="0.25">
      <c r="A53" s="418" t="s">
        <v>153</v>
      </c>
      <c r="B53" s="419"/>
      <c r="C53" s="419"/>
      <c r="D53" s="70">
        <f>SUM(D50:D52)</f>
        <v>11408.84</v>
      </c>
      <c r="E53" s="135">
        <f>SUM(E50:E52)</f>
        <v>11408.84</v>
      </c>
    </row>
    <row r="54" spans="1:5" s="30" customFormat="1" ht="15.75" customHeight="1" x14ac:dyDescent="0.25">
      <c r="A54" s="404" t="s">
        <v>162</v>
      </c>
      <c r="B54" s="405"/>
      <c r="C54" s="405"/>
      <c r="D54" s="493"/>
      <c r="E54" s="479"/>
    </row>
    <row r="55" spans="1:5" s="30" customFormat="1" ht="15.75" customHeight="1" x14ac:dyDescent="0.25">
      <c r="A55" s="52" t="s">
        <v>199</v>
      </c>
      <c r="B55" s="420" t="s">
        <v>32</v>
      </c>
      <c r="C55" s="429"/>
      <c r="D55" s="74" t="s">
        <v>10</v>
      </c>
      <c r="E55" s="137" t="s">
        <v>10</v>
      </c>
    </row>
    <row r="56" spans="1:5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84">
        <f>D$25*C56</f>
        <v>82.79</v>
      </c>
      <c r="E56" s="129">
        <f>E$25*C56</f>
        <v>82.79</v>
      </c>
    </row>
    <row r="57" spans="1:5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84">
        <f>D$25*C57</f>
        <v>7.2</v>
      </c>
      <c r="E57" s="129">
        <f>E$25*C57</f>
        <v>7.2</v>
      </c>
    </row>
    <row r="58" spans="1:5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84">
        <f>D$25*C58</f>
        <v>349.14</v>
      </c>
      <c r="E58" s="129">
        <f>E$25*C58</f>
        <v>349.14</v>
      </c>
    </row>
    <row r="59" spans="1:5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84">
        <f>D$25*C59</f>
        <v>127.78</v>
      </c>
      <c r="E59" s="129">
        <f>E$25*C59</f>
        <v>127.78</v>
      </c>
    </row>
    <row r="60" spans="1:5" s="30" customFormat="1" ht="32.25" customHeight="1" x14ac:dyDescent="0.25">
      <c r="A60" s="50" t="s">
        <v>20</v>
      </c>
      <c r="B60" s="51" t="s">
        <v>218</v>
      </c>
      <c r="C60" s="59">
        <v>0.04</v>
      </c>
      <c r="D60" s="84">
        <f>D$25*C60</f>
        <v>719.87</v>
      </c>
      <c r="E60" s="129">
        <f>E$25*C60</f>
        <v>719.87</v>
      </c>
    </row>
    <row r="61" spans="1:5" s="30" customFormat="1" x14ac:dyDescent="0.25">
      <c r="A61" s="418" t="s">
        <v>154</v>
      </c>
      <c r="B61" s="419"/>
      <c r="C61" s="419"/>
      <c r="D61" s="70">
        <f>SUM(D56:D60)</f>
        <v>1286.78</v>
      </c>
      <c r="E61" s="135">
        <f>SUM(E56:E60)</f>
        <v>1286.78</v>
      </c>
    </row>
    <row r="62" spans="1:5" s="30" customFormat="1" x14ac:dyDescent="0.25">
      <c r="A62" s="404" t="s">
        <v>163</v>
      </c>
      <c r="B62" s="405"/>
      <c r="C62" s="405"/>
      <c r="D62" s="493"/>
      <c r="E62" s="479"/>
    </row>
    <row r="63" spans="1:5" s="30" customFormat="1" x14ac:dyDescent="0.25">
      <c r="A63" s="52" t="s">
        <v>198</v>
      </c>
      <c r="B63" s="430" t="s">
        <v>36</v>
      </c>
      <c r="C63" s="430"/>
      <c r="D63" s="74" t="s">
        <v>10</v>
      </c>
      <c r="E63" s="137" t="s">
        <v>10</v>
      </c>
    </row>
    <row r="64" spans="1:5" s="30" customFormat="1" x14ac:dyDescent="0.25">
      <c r="A64" s="50" t="s">
        <v>0</v>
      </c>
      <c r="B64" s="51" t="s">
        <v>191</v>
      </c>
      <c r="C64" s="59">
        <v>9.2999999999999992E-3</v>
      </c>
      <c r="D64" s="84">
        <f t="shared" ref="D64:D69" si="0">(D$25+D$53+D$61+D$84)*C64</f>
        <v>285.77999999999997</v>
      </c>
      <c r="E64" s="129">
        <f t="shared" ref="E64:E69" si="1">(E$25+E$53+E$61+E$84)*C64</f>
        <v>285.77999999999997</v>
      </c>
    </row>
    <row r="65" spans="1:5" s="30" customFormat="1" x14ac:dyDescent="0.25">
      <c r="A65" s="50" t="s">
        <v>2</v>
      </c>
      <c r="B65" s="51" t="s">
        <v>192</v>
      </c>
      <c r="C65" s="59">
        <v>1.66E-2</v>
      </c>
      <c r="D65" s="84">
        <f t="shared" si="0"/>
        <v>510.1</v>
      </c>
      <c r="E65" s="129">
        <f t="shared" si="1"/>
        <v>510.1</v>
      </c>
    </row>
    <row r="66" spans="1:5" s="30" customFormat="1" x14ac:dyDescent="0.25">
      <c r="A66" s="50" t="s">
        <v>3</v>
      </c>
      <c r="B66" s="51" t="s">
        <v>193</v>
      </c>
      <c r="C66" s="59">
        <v>2.0000000000000001E-4</v>
      </c>
      <c r="D66" s="84">
        <f t="shared" si="0"/>
        <v>6.15</v>
      </c>
      <c r="E66" s="129">
        <f t="shared" si="1"/>
        <v>6.15</v>
      </c>
    </row>
    <row r="67" spans="1:5" s="30" customFormat="1" x14ac:dyDescent="0.25">
      <c r="A67" s="50" t="s">
        <v>5</v>
      </c>
      <c r="B67" s="51" t="s">
        <v>194</v>
      </c>
      <c r="C67" s="59">
        <v>2.7000000000000001E-3</v>
      </c>
      <c r="D67" s="84">
        <f t="shared" si="0"/>
        <v>82.97</v>
      </c>
      <c r="E67" s="129">
        <f t="shared" si="1"/>
        <v>82.97</v>
      </c>
    </row>
    <row r="68" spans="1:5" s="30" customFormat="1" x14ac:dyDescent="0.25">
      <c r="A68" s="50" t="s">
        <v>20</v>
      </c>
      <c r="B68" s="51" t="s">
        <v>195</v>
      </c>
      <c r="C68" s="59">
        <v>2.9999999999999997E-4</v>
      </c>
      <c r="D68" s="84">
        <f t="shared" si="0"/>
        <v>9.2200000000000006</v>
      </c>
      <c r="E68" s="129">
        <f t="shared" si="1"/>
        <v>9.2200000000000006</v>
      </c>
    </row>
    <row r="69" spans="1:5" s="30" customFormat="1" ht="15.75" customHeight="1" x14ac:dyDescent="0.25">
      <c r="A69" s="50" t="s">
        <v>21</v>
      </c>
      <c r="B69" s="55" t="s">
        <v>196</v>
      </c>
      <c r="C69" s="59">
        <v>0</v>
      </c>
      <c r="D69" s="84">
        <f t="shared" si="0"/>
        <v>0</v>
      </c>
      <c r="E69" s="129">
        <f t="shared" si="1"/>
        <v>0</v>
      </c>
    </row>
    <row r="70" spans="1:5" s="30" customFormat="1" x14ac:dyDescent="0.25">
      <c r="A70" s="416" t="s">
        <v>29</v>
      </c>
      <c r="B70" s="417"/>
      <c r="C70" s="60">
        <f>SUM(C64:C69)</f>
        <v>2.9100000000000001E-2</v>
      </c>
      <c r="D70" s="86">
        <f>SUM(D64:D69)</f>
        <v>894.22</v>
      </c>
      <c r="E70" s="130">
        <f>SUM(E64:E69)</f>
        <v>894.22</v>
      </c>
    </row>
    <row r="71" spans="1:5" s="30" customFormat="1" x14ac:dyDescent="0.25">
      <c r="A71" s="44"/>
      <c r="B71" s="57"/>
      <c r="C71" s="78"/>
      <c r="D71" s="188"/>
      <c r="E71" s="128"/>
    </row>
    <row r="72" spans="1:5" s="30" customFormat="1" x14ac:dyDescent="0.25">
      <c r="A72" s="44"/>
      <c r="B72" s="406" t="s">
        <v>200</v>
      </c>
      <c r="C72" s="431"/>
      <c r="D72" s="74" t="s">
        <v>10</v>
      </c>
      <c r="E72" s="137" t="s">
        <v>10</v>
      </c>
    </row>
    <row r="73" spans="1:5" s="30" customFormat="1" x14ac:dyDescent="0.25">
      <c r="A73" s="48" t="s">
        <v>0</v>
      </c>
      <c r="B73" s="116" t="s">
        <v>201</v>
      </c>
      <c r="C73" s="151">
        <v>0</v>
      </c>
      <c r="D73" s="191">
        <v>0</v>
      </c>
      <c r="E73" s="153">
        <v>0</v>
      </c>
    </row>
    <row r="74" spans="1:5" s="30" customFormat="1" ht="15.75" customHeight="1" x14ac:dyDescent="0.25">
      <c r="A74" s="416" t="s">
        <v>27</v>
      </c>
      <c r="B74" s="417"/>
      <c r="C74" s="101">
        <v>0</v>
      </c>
      <c r="D74" s="86">
        <f>D73</f>
        <v>0</v>
      </c>
      <c r="E74" s="130">
        <f>E73</f>
        <v>0</v>
      </c>
    </row>
    <row r="75" spans="1:5" s="30" customFormat="1" ht="15.75" customHeight="1" x14ac:dyDescent="0.25">
      <c r="A75" s="404" t="s">
        <v>30</v>
      </c>
      <c r="B75" s="405"/>
      <c r="C75" s="405"/>
      <c r="D75" s="493"/>
      <c r="E75" s="479"/>
    </row>
    <row r="76" spans="1:5" s="30" customFormat="1" ht="15.75" customHeight="1" x14ac:dyDescent="0.25">
      <c r="A76" s="432" t="s">
        <v>202</v>
      </c>
      <c r="B76" s="433"/>
      <c r="C76" s="433"/>
      <c r="D76" s="494"/>
      <c r="E76" s="485"/>
    </row>
    <row r="77" spans="1:5" s="30" customFormat="1" ht="15.75" customHeight="1" x14ac:dyDescent="0.25">
      <c r="A77" s="52">
        <v>4</v>
      </c>
      <c r="B77" s="420" t="s">
        <v>219</v>
      </c>
      <c r="C77" s="429"/>
      <c r="D77" s="74" t="s">
        <v>10</v>
      </c>
      <c r="E77" s="137" t="s">
        <v>10</v>
      </c>
    </row>
    <row r="78" spans="1:5" s="30" customFormat="1" ht="15.75" customHeight="1" x14ac:dyDescent="0.25">
      <c r="A78" s="50" t="s">
        <v>198</v>
      </c>
      <c r="B78" s="51" t="s">
        <v>197</v>
      </c>
      <c r="C78" s="59">
        <f>C70</f>
        <v>2.9100000000000001E-2</v>
      </c>
      <c r="D78" s="84">
        <f>D70</f>
        <v>894.22</v>
      </c>
      <c r="E78" s="129">
        <f>E70</f>
        <v>894.22</v>
      </c>
    </row>
    <row r="79" spans="1:5" s="30" customFormat="1" ht="15.75" customHeight="1" x14ac:dyDescent="0.25">
      <c r="A79" s="50" t="s">
        <v>220</v>
      </c>
      <c r="B79" s="51" t="s">
        <v>200</v>
      </c>
      <c r="C79" s="59">
        <v>0</v>
      </c>
      <c r="D79" s="84">
        <f>(D$25+D$53+D$61)*C79</f>
        <v>0</v>
      </c>
      <c r="E79" s="129">
        <f>(E$25+E$53+E$61)*C79</f>
        <v>0</v>
      </c>
    </row>
    <row r="80" spans="1:5" s="30" customFormat="1" ht="15.75" customHeight="1" x14ac:dyDescent="0.25">
      <c r="A80" s="416" t="s">
        <v>27</v>
      </c>
      <c r="B80" s="417"/>
      <c r="C80" s="99">
        <f>SUM(C78:C79)</f>
        <v>2.9100000000000001E-2</v>
      </c>
      <c r="D80" s="86">
        <f>SUM(D78:D79)</f>
        <v>894.22</v>
      </c>
      <c r="E80" s="130">
        <f>SUM(E78:E79)</f>
        <v>894.22</v>
      </c>
    </row>
    <row r="81" spans="1:5" s="30" customFormat="1" ht="15.75" customHeight="1" x14ac:dyDescent="0.25">
      <c r="A81" s="418" t="s">
        <v>155</v>
      </c>
      <c r="B81" s="419"/>
      <c r="C81" s="419"/>
      <c r="D81" s="70">
        <f>SUM(D74+D80)</f>
        <v>894.22</v>
      </c>
      <c r="E81" s="135">
        <f>SUM(E74+E80)</f>
        <v>894.22</v>
      </c>
    </row>
    <row r="82" spans="1:5" s="30" customFormat="1" ht="15.75" customHeight="1" x14ac:dyDescent="0.25">
      <c r="A82" s="427" t="s">
        <v>164</v>
      </c>
      <c r="B82" s="428"/>
      <c r="C82" s="428"/>
      <c r="D82" s="495"/>
      <c r="E82" s="484"/>
    </row>
    <row r="83" spans="1:5" s="30" customFormat="1" ht="15.75" customHeight="1" x14ac:dyDescent="0.25">
      <c r="A83" s="52">
        <v>5</v>
      </c>
      <c r="B83" s="420" t="s">
        <v>24</v>
      </c>
      <c r="C83" s="429"/>
      <c r="D83" s="74" t="s">
        <v>10</v>
      </c>
      <c r="E83" s="137" t="s">
        <v>10</v>
      </c>
    </row>
    <row r="84" spans="1:5" s="30" customFormat="1" ht="15.75" customHeight="1" x14ac:dyDescent="0.25">
      <c r="A84" s="233" t="s">
        <v>0</v>
      </c>
      <c r="B84" s="435" t="s">
        <v>221</v>
      </c>
      <c r="C84" s="435"/>
      <c r="D84" s="227">
        <f>Uniformes!H7</f>
        <v>36.61</v>
      </c>
      <c r="E84" s="232">
        <f>Uniformes!H7</f>
        <v>36.61</v>
      </c>
    </row>
    <row r="85" spans="1:5" s="30" customFormat="1" ht="15.75" customHeight="1" x14ac:dyDescent="0.25">
      <c r="A85" s="233" t="s">
        <v>2</v>
      </c>
      <c r="B85" s="435" t="s">
        <v>222</v>
      </c>
      <c r="C85" s="435"/>
      <c r="D85" s="227">
        <f>Materiais!H19</f>
        <v>44.57</v>
      </c>
      <c r="E85" s="232">
        <f>Materiais!H20</f>
        <v>44.57</v>
      </c>
    </row>
    <row r="86" spans="1:5" s="30" customFormat="1" ht="15.75" customHeight="1" x14ac:dyDescent="0.25">
      <c r="A86" s="233" t="s">
        <v>3</v>
      </c>
      <c r="B86" s="435" t="s">
        <v>187</v>
      </c>
      <c r="C86" s="435"/>
      <c r="D86" s="229">
        <f>Equipamentos!H19</f>
        <v>922.4</v>
      </c>
      <c r="E86" s="234">
        <f>Equipamentos!H20</f>
        <v>922.4</v>
      </c>
    </row>
    <row r="87" spans="1:5" s="30" customFormat="1" ht="15.75" customHeight="1" x14ac:dyDescent="0.25">
      <c r="A87" s="233" t="s">
        <v>5</v>
      </c>
      <c r="B87" s="435" t="s">
        <v>137</v>
      </c>
      <c r="C87" s="435"/>
      <c r="D87" s="227">
        <v>0</v>
      </c>
      <c r="E87" s="232">
        <v>0</v>
      </c>
    </row>
    <row r="88" spans="1:5" s="30" customFormat="1" ht="15.75" customHeight="1" x14ac:dyDescent="0.25">
      <c r="A88" s="418" t="s">
        <v>156</v>
      </c>
      <c r="B88" s="419"/>
      <c r="C88" s="419"/>
      <c r="D88" s="70">
        <f>SUM(D84:D87)</f>
        <v>1003.58</v>
      </c>
      <c r="E88" s="135">
        <f>SUM(E84:E87)</f>
        <v>1003.58</v>
      </c>
    </row>
    <row r="89" spans="1:5" s="30" customFormat="1" ht="23.25" customHeight="1" x14ac:dyDescent="0.25">
      <c r="A89" s="427" t="s">
        <v>37</v>
      </c>
      <c r="B89" s="428"/>
      <c r="C89" s="428"/>
      <c r="D89" s="161">
        <f>D88+D81+D61+D53+D25</f>
        <v>32590.17</v>
      </c>
      <c r="E89" s="139">
        <f>E88+E81+E61+E53+E25</f>
        <v>32590.17</v>
      </c>
    </row>
    <row r="90" spans="1:5" s="30" customFormat="1" ht="19.5" customHeight="1" x14ac:dyDescent="0.25">
      <c r="A90" s="404" t="s">
        <v>165</v>
      </c>
      <c r="B90" s="405"/>
      <c r="C90" s="405"/>
      <c r="D90" s="493"/>
      <c r="E90" s="479"/>
    </row>
    <row r="91" spans="1:5" s="30" customFormat="1" x14ac:dyDescent="0.25">
      <c r="A91" s="52">
        <v>5</v>
      </c>
      <c r="B91" s="420" t="s">
        <v>38</v>
      </c>
      <c r="C91" s="421"/>
      <c r="D91" s="74" t="s">
        <v>10</v>
      </c>
      <c r="E91" s="137" t="s">
        <v>10</v>
      </c>
    </row>
    <row r="92" spans="1:5" s="30" customFormat="1" x14ac:dyDescent="0.25">
      <c r="A92" s="52" t="s">
        <v>0</v>
      </c>
      <c r="B92" s="51" t="s">
        <v>39</v>
      </c>
      <c r="C92" s="59">
        <v>0.03</v>
      </c>
      <c r="D92" s="84">
        <f>D89*C92</f>
        <v>977.71</v>
      </c>
      <c r="E92" s="129">
        <f>E89*C92</f>
        <v>977.71</v>
      </c>
    </row>
    <row r="93" spans="1:5" s="30" customFormat="1" x14ac:dyDescent="0.25">
      <c r="A93" s="52" t="s">
        <v>2</v>
      </c>
      <c r="B93" s="51" t="s">
        <v>40</v>
      </c>
      <c r="C93" s="59">
        <v>6.7900000000000002E-2</v>
      </c>
      <c r="D93" s="84">
        <f>C93*(D89+D92)</f>
        <v>2279.2600000000002</v>
      </c>
      <c r="E93" s="129">
        <f>C93*(E89+E92)</f>
        <v>2279.2600000000002</v>
      </c>
    </row>
    <row r="94" spans="1:5" s="30" customFormat="1" ht="31.5" x14ac:dyDescent="0.25">
      <c r="A94" s="436" t="s">
        <v>3</v>
      </c>
      <c r="B94" s="51" t="s">
        <v>50</v>
      </c>
      <c r="C94" s="59">
        <f>1-C102</f>
        <v>0.85750000000000004</v>
      </c>
      <c r="D94" s="84">
        <f>D89+D92+D93</f>
        <v>35847.14</v>
      </c>
      <c r="E94" s="129">
        <f>E89+E92+E93</f>
        <v>35847.14</v>
      </c>
    </row>
    <row r="95" spans="1:5" s="30" customFormat="1" x14ac:dyDescent="0.25">
      <c r="A95" s="436"/>
      <c r="B95" s="55" t="s">
        <v>41</v>
      </c>
      <c r="C95" s="95"/>
      <c r="D95" s="162">
        <f>+D94/C94</f>
        <v>41804.239999999998</v>
      </c>
      <c r="E95" s="140">
        <f>+E94/C94</f>
        <v>41804.239999999998</v>
      </c>
    </row>
    <row r="96" spans="1:5" s="30" customFormat="1" x14ac:dyDescent="0.25">
      <c r="A96" s="436"/>
      <c r="B96" s="55" t="s">
        <v>42</v>
      </c>
      <c r="C96" s="72"/>
      <c r="D96" s="84"/>
      <c r="E96" s="129"/>
    </row>
    <row r="97" spans="1:5" s="30" customFormat="1" x14ac:dyDescent="0.25">
      <c r="A97" s="436"/>
      <c r="B97" s="51" t="s">
        <v>130</v>
      </c>
      <c r="C97" s="59">
        <v>1.6500000000000001E-2</v>
      </c>
      <c r="D97" s="84">
        <f>+D95*C97</f>
        <v>689.77</v>
      </c>
      <c r="E97" s="129">
        <f>+E95*C97</f>
        <v>689.77</v>
      </c>
    </row>
    <row r="98" spans="1:5" s="30" customFormat="1" x14ac:dyDescent="0.25">
      <c r="A98" s="436"/>
      <c r="B98" s="51" t="s">
        <v>131</v>
      </c>
      <c r="C98" s="59">
        <v>7.5999999999999998E-2</v>
      </c>
      <c r="D98" s="84">
        <f>+D95*C98</f>
        <v>3177.12</v>
      </c>
      <c r="E98" s="129">
        <f>+E95*C98</f>
        <v>3177.12</v>
      </c>
    </row>
    <row r="99" spans="1:5" s="30" customFormat="1" x14ac:dyDescent="0.25">
      <c r="A99" s="436"/>
      <c r="B99" s="53" t="s">
        <v>43</v>
      </c>
      <c r="C99" s="95"/>
      <c r="D99" s="84"/>
      <c r="E99" s="129"/>
    </row>
    <row r="100" spans="1:5" s="30" customFormat="1" x14ac:dyDescent="0.25">
      <c r="A100" s="436"/>
      <c r="B100" s="53" t="s">
        <v>44</v>
      </c>
      <c r="C100" s="102"/>
      <c r="D100" s="84"/>
      <c r="E100" s="129"/>
    </row>
    <row r="101" spans="1:5" s="30" customFormat="1" x14ac:dyDescent="0.25">
      <c r="A101" s="436"/>
      <c r="B101" s="51" t="s">
        <v>142</v>
      </c>
      <c r="C101" s="59">
        <v>0.05</v>
      </c>
      <c r="D101" s="84">
        <f>+D95*C101</f>
        <v>2090.21</v>
      </c>
      <c r="E101" s="129">
        <f>+E95*C101</f>
        <v>2090.21</v>
      </c>
    </row>
    <row r="102" spans="1:5" s="30" customFormat="1" x14ac:dyDescent="0.25">
      <c r="A102" s="52"/>
      <c r="B102" s="106" t="s">
        <v>45</v>
      </c>
      <c r="C102" s="107">
        <f>SUM(C97:C101)</f>
        <v>0.14249999999999999</v>
      </c>
      <c r="D102" s="108">
        <f>SUM(D97:D101)</f>
        <v>5957.1</v>
      </c>
      <c r="E102" s="142">
        <f>SUM(E97:E101)</f>
        <v>5957.1</v>
      </c>
    </row>
    <row r="103" spans="1:5" s="30" customFormat="1" ht="15.75" customHeight="1" x14ac:dyDescent="0.25">
      <c r="A103" s="416" t="s">
        <v>46</v>
      </c>
      <c r="B103" s="417"/>
      <c r="C103" s="417"/>
      <c r="D103" s="86">
        <f>+D92+D93+D102</f>
        <v>9214.07</v>
      </c>
      <c r="E103" s="130">
        <f>+E92+E93+E102</f>
        <v>9214.07</v>
      </c>
    </row>
    <row r="104" spans="1:5" s="30" customFormat="1" ht="15.75" customHeight="1" x14ac:dyDescent="0.25">
      <c r="A104" s="442" t="s">
        <v>47</v>
      </c>
      <c r="B104" s="443"/>
      <c r="C104" s="443"/>
      <c r="D104" s="76" t="s">
        <v>10</v>
      </c>
      <c r="E104" s="152" t="s">
        <v>10</v>
      </c>
    </row>
    <row r="105" spans="1:5" s="30" customFormat="1" x14ac:dyDescent="0.25">
      <c r="A105" s="50" t="s">
        <v>0</v>
      </c>
      <c r="B105" s="438" t="s">
        <v>48</v>
      </c>
      <c r="C105" s="438"/>
      <c r="D105" s="84">
        <f>D25</f>
        <v>17996.75</v>
      </c>
      <c r="E105" s="129">
        <f>E25</f>
        <v>17996.75</v>
      </c>
    </row>
    <row r="106" spans="1:5" s="30" customFormat="1" x14ac:dyDescent="0.25">
      <c r="A106" s="50" t="s">
        <v>2</v>
      </c>
      <c r="B106" s="438" t="s">
        <v>159</v>
      </c>
      <c r="C106" s="438"/>
      <c r="D106" s="84">
        <f>D53</f>
        <v>11408.84</v>
      </c>
      <c r="E106" s="129">
        <f>E53</f>
        <v>11408.84</v>
      </c>
    </row>
    <row r="107" spans="1:5" s="30" customFormat="1" x14ac:dyDescent="0.25">
      <c r="A107" s="50" t="s">
        <v>3</v>
      </c>
      <c r="B107" s="438" t="s">
        <v>157</v>
      </c>
      <c r="C107" s="438"/>
      <c r="D107" s="84">
        <f>D61</f>
        <v>1286.78</v>
      </c>
      <c r="E107" s="129">
        <f>E61</f>
        <v>1286.78</v>
      </c>
    </row>
    <row r="108" spans="1:5" s="30" customFormat="1" x14ac:dyDescent="0.25">
      <c r="A108" s="50" t="s">
        <v>5</v>
      </c>
      <c r="B108" s="452" t="s">
        <v>150</v>
      </c>
      <c r="C108" s="453"/>
      <c r="D108" s="84">
        <f>D81</f>
        <v>894.22</v>
      </c>
      <c r="E108" s="129">
        <f>E81</f>
        <v>894.22</v>
      </c>
    </row>
    <row r="109" spans="1:5" s="30" customFormat="1" x14ac:dyDescent="0.25">
      <c r="A109" s="50" t="s">
        <v>20</v>
      </c>
      <c r="B109" s="452" t="s">
        <v>158</v>
      </c>
      <c r="C109" s="453"/>
      <c r="D109" s="84">
        <f>D88</f>
        <v>1003.58</v>
      </c>
      <c r="E109" s="129">
        <f>E88</f>
        <v>1003.58</v>
      </c>
    </row>
    <row r="110" spans="1:5" s="30" customFormat="1" ht="15.75" customHeight="1" x14ac:dyDescent="0.25">
      <c r="A110" s="436" t="s">
        <v>160</v>
      </c>
      <c r="B110" s="437"/>
      <c r="C110" s="437"/>
      <c r="D110" s="108">
        <f>SUM(D105:D109)</f>
        <v>32590.17</v>
      </c>
      <c r="E110" s="142">
        <f>SUM(E105:E109)</f>
        <v>32590.17</v>
      </c>
    </row>
    <row r="111" spans="1:5" s="30" customFormat="1" x14ac:dyDescent="0.25">
      <c r="A111" s="52" t="s">
        <v>20</v>
      </c>
      <c r="B111" s="438" t="s">
        <v>161</v>
      </c>
      <c r="C111" s="438"/>
      <c r="D111" s="84">
        <f>+D103</f>
        <v>9214.07</v>
      </c>
      <c r="E111" s="129">
        <f>+E103</f>
        <v>9214.07</v>
      </c>
    </row>
    <row r="112" spans="1:5" s="30" customFormat="1" ht="16.5" customHeight="1" thickBot="1" x14ac:dyDescent="0.3">
      <c r="A112" s="505" t="s">
        <v>49</v>
      </c>
      <c r="B112" s="506"/>
      <c r="C112" s="506"/>
      <c r="D112" s="192">
        <f>+D110+D111</f>
        <v>41804.239999999998</v>
      </c>
      <c r="E112" s="193">
        <f>+E110+E111</f>
        <v>41804.239999999998</v>
      </c>
    </row>
    <row r="113" spans="1:5" ht="16.5" thickBot="1" x14ac:dyDescent="0.3">
      <c r="A113" s="507" t="s">
        <v>233</v>
      </c>
      <c r="B113" s="508"/>
      <c r="C113" s="508"/>
      <c r="D113" s="508"/>
      <c r="E113" s="509"/>
    </row>
    <row r="114" spans="1:5" ht="15.75" customHeight="1" x14ac:dyDescent="0.25">
      <c r="A114" s="496" t="s">
        <v>306</v>
      </c>
      <c r="B114" s="497"/>
      <c r="C114" s="497"/>
      <c r="D114" s="497"/>
      <c r="E114" s="498"/>
    </row>
    <row r="115" spans="1:5" x14ac:dyDescent="0.25">
      <c r="A115" s="499"/>
      <c r="B115" s="500"/>
      <c r="C115" s="500"/>
      <c r="D115" s="500"/>
      <c r="E115" s="501"/>
    </row>
    <row r="116" spans="1:5" x14ac:dyDescent="0.25">
      <c r="A116" s="499"/>
      <c r="B116" s="500"/>
      <c r="C116" s="500"/>
      <c r="D116" s="500"/>
      <c r="E116" s="501"/>
    </row>
    <row r="117" spans="1:5" x14ac:dyDescent="0.25">
      <c r="A117" s="499"/>
      <c r="B117" s="500"/>
      <c r="C117" s="500"/>
      <c r="D117" s="500"/>
      <c r="E117" s="501"/>
    </row>
    <row r="118" spans="1:5" x14ac:dyDescent="0.25">
      <c r="A118" s="499"/>
      <c r="B118" s="500"/>
      <c r="C118" s="500"/>
      <c r="D118" s="500"/>
      <c r="E118" s="501"/>
    </row>
    <row r="119" spans="1:5" x14ac:dyDescent="0.25">
      <c r="A119" s="499"/>
      <c r="B119" s="500"/>
      <c r="C119" s="500"/>
      <c r="D119" s="500"/>
      <c r="E119" s="501"/>
    </row>
    <row r="120" spans="1:5" x14ac:dyDescent="0.25">
      <c r="A120" s="499"/>
      <c r="B120" s="500"/>
      <c r="C120" s="500"/>
      <c r="D120" s="500"/>
      <c r="E120" s="501"/>
    </row>
    <row r="121" spans="1:5" x14ac:dyDescent="0.25">
      <c r="A121" s="499"/>
      <c r="B121" s="500"/>
      <c r="C121" s="500"/>
      <c r="D121" s="500"/>
      <c r="E121" s="501"/>
    </row>
    <row r="122" spans="1:5" ht="16.5" thickBot="1" x14ac:dyDescent="0.3">
      <c r="A122" s="502"/>
      <c r="B122" s="503"/>
      <c r="C122" s="503"/>
      <c r="D122" s="503"/>
      <c r="E122" s="504"/>
    </row>
    <row r="124" spans="1:5" x14ac:dyDescent="0.25">
      <c r="B124" s="28"/>
    </row>
  </sheetData>
  <mergeCells count="65">
    <mergeCell ref="B91:C91"/>
    <mergeCell ref="A94:A101"/>
    <mergeCell ref="A103:C103"/>
    <mergeCell ref="A104:C104"/>
    <mergeCell ref="A114:E122"/>
    <mergeCell ref="B107:C107"/>
    <mergeCell ref="B108:C108"/>
    <mergeCell ref="B109:C109"/>
    <mergeCell ref="A110:C110"/>
    <mergeCell ref="B111:C111"/>
    <mergeCell ref="A112:C112"/>
    <mergeCell ref="A113:E113"/>
    <mergeCell ref="B106:C106"/>
    <mergeCell ref="B105:C105"/>
    <mergeCell ref="B86:C86"/>
    <mergeCell ref="B87:C87"/>
    <mergeCell ref="A88:C88"/>
    <mergeCell ref="A89:C89"/>
    <mergeCell ref="A90:E90"/>
    <mergeCell ref="A76:E76"/>
    <mergeCell ref="B77:C77"/>
    <mergeCell ref="A80:B80"/>
    <mergeCell ref="A81:C81"/>
    <mergeCell ref="A82:E82"/>
    <mergeCell ref="B63:C63"/>
    <mergeCell ref="A70:B70"/>
    <mergeCell ref="B72:C72"/>
    <mergeCell ref="A74:B74"/>
    <mergeCell ref="A75:E75"/>
    <mergeCell ref="B84:C84"/>
    <mergeCell ref="B85:C85"/>
    <mergeCell ref="A61:C61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B55:C55"/>
    <mergeCell ref="B83:C83"/>
    <mergeCell ref="A62:E62"/>
    <mergeCell ref="A26:C26"/>
    <mergeCell ref="C7:E7"/>
    <mergeCell ref="A8:E8"/>
    <mergeCell ref="A9:E9"/>
    <mergeCell ref="A10:E10"/>
    <mergeCell ref="A11:C11"/>
    <mergeCell ref="C12:E12"/>
    <mergeCell ref="C14:E14"/>
    <mergeCell ref="C15:E15"/>
    <mergeCell ref="A16:C16"/>
    <mergeCell ref="B17:C17"/>
    <mergeCell ref="A25:C25"/>
    <mergeCell ref="C13:E13"/>
    <mergeCell ref="D11:E11"/>
    <mergeCell ref="C6:E6"/>
    <mergeCell ref="A1:E1"/>
    <mergeCell ref="A2:E2"/>
    <mergeCell ref="A3:E3"/>
    <mergeCell ref="C4:E4"/>
    <mergeCell ref="C5:E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>
    <pageSetUpPr fitToPage="1"/>
  </sheetPr>
  <dimension ref="A1:E124"/>
  <sheetViews>
    <sheetView view="pageBreakPreview" topLeftCell="A97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93"/>
      <c r="B1" s="394"/>
      <c r="C1" s="394"/>
      <c r="D1" s="445"/>
      <c r="E1" s="395"/>
    </row>
    <row r="2" spans="1:5" s="38" customFormat="1" ht="16.5" customHeight="1" x14ac:dyDescent="0.25">
      <c r="A2" s="396" t="s">
        <v>132</v>
      </c>
      <c r="B2" s="397"/>
      <c r="C2" s="397"/>
      <c r="D2" s="446"/>
      <c r="E2" s="398"/>
    </row>
    <row r="3" spans="1:5" s="38" customFormat="1" x14ac:dyDescent="0.25">
      <c r="A3" s="399" t="s">
        <v>129</v>
      </c>
      <c r="B3" s="400"/>
      <c r="C3" s="400"/>
      <c r="D3" s="447"/>
      <c r="E3" s="401"/>
    </row>
    <row r="4" spans="1:5" s="38" customFormat="1" ht="15" customHeight="1" x14ac:dyDescent="0.25">
      <c r="A4" s="40" t="s">
        <v>0</v>
      </c>
      <c r="B4" s="41" t="s">
        <v>1</v>
      </c>
      <c r="C4" s="402">
        <v>2024</v>
      </c>
      <c r="D4" s="402"/>
      <c r="E4" s="403"/>
    </row>
    <row r="5" spans="1:5" s="38" customFormat="1" ht="75" customHeight="1" x14ac:dyDescent="0.25">
      <c r="A5" s="40" t="s">
        <v>2</v>
      </c>
      <c r="B5" s="41" t="s">
        <v>140</v>
      </c>
      <c r="C5" s="391" t="s">
        <v>268</v>
      </c>
      <c r="D5" s="391"/>
      <c r="E5" s="392"/>
    </row>
    <row r="6" spans="1:5" s="38" customFormat="1" ht="15.75" customHeight="1" x14ac:dyDescent="0.25">
      <c r="A6" s="40" t="s">
        <v>3</v>
      </c>
      <c r="B6" s="41" t="s">
        <v>4</v>
      </c>
      <c r="C6" s="391"/>
      <c r="D6" s="391"/>
      <c r="E6" s="392"/>
    </row>
    <row r="7" spans="1:5" s="38" customFormat="1" x14ac:dyDescent="0.25">
      <c r="A7" s="40" t="s">
        <v>5</v>
      </c>
      <c r="B7" s="41" t="s">
        <v>143</v>
      </c>
      <c r="C7" s="391">
        <v>12</v>
      </c>
      <c r="D7" s="391"/>
      <c r="E7" s="392"/>
    </row>
    <row r="8" spans="1:5" s="38" customFormat="1" x14ac:dyDescent="0.25">
      <c r="A8" s="399" t="s">
        <v>6</v>
      </c>
      <c r="B8" s="400"/>
      <c r="C8" s="400"/>
      <c r="D8" s="447"/>
      <c r="E8" s="401"/>
    </row>
    <row r="9" spans="1:5" s="38" customFormat="1" x14ac:dyDescent="0.25">
      <c r="A9" s="399" t="s">
        <v>7</v>
      </c>
      <c r="B9" s="400"/>
      <c r="C9" s="400"/>
      <c r="D9" s="447"/>
      <c r="E9" s="401"/>
    </row>
    <row r="10" spans="1:5" s="38" customFormat="1" ht="15.75" customHeight="1" x14ac:dyDescent="0.25">
      <c r="A10" s="399" t="s">
        <v>8</v>
      </c>
      <c r="B10" s="400"/>
      <c r="C10" s="400"/>
      <c r="D10" s="447"/>
      <c r="E10" s="401"/>
    </row>
    <row r="11" spans="1:5" s="38" customFormat="1" ht="30" customHeight="1" x14ac:dyDescent="0.25">
      <c r="A11" s="407" t="s">
        <v>9</v>
      </c>
      <c r="B11" s="408"/>
      <c r="C11" s="408"/>
      <c r="D11" s="449" t="s">
        <v>10</v>
      </c>
      <c r="E11" s="451"/>
    </row>
    <row r="12" spans="1:5" s="38" customFormat="1" ht="60" customHeight="1" x14ac:dyDescent="0.25">
      <c r="A12" s="40">
        <v>1</v>
      </c>
      <c r="B12" s="42" t="s">
        <v>133</v>
      </c>
      <c r="C12" s="409" t="s">
        <v>269</v>
      </c>
      <c r="D12" s="409"/>
      <c r="E12" s="410"/>
    </row>
    <row r="13" spans="1:5" s="38" customFormat="1" ht="30" customHeight="1" x14ac:dyDescent="0.25">
      <c r="A13" s="40">
        <v>2</v>
      </c>
      <c r="B13" s="42" t="s">
        <v>11</v>
      </c>
      <c r="C13" s="489">
        <f>(13581.68+(13581.68*10.18%)+(14964.25*8.9%)+(16296.07*6.97%))</f>
        <v>17431.95</v>
      </c>
      <c r="D13" s="490"/>
      <c r="E13" s="491"/>
    </row>
    <row r="14" spans="1:5" s="38" customFormat="1" ht="15.75" customHeight="1" x14ac:dyDescent="0.25">
      <c r="A14" s="40">
        <v>3</v>
      </c>
      <c r="B14" s="42" t="s">
        <v>12</v>
      </c>
      <c r="C14" s="409" t="s">
        <v>236</v>
      </c>
      <c r="D14" s="409"/>
      <c r="E14" s="410"/>
    </row>
    <row r="15" spans="1:5" s="38" customFormat="1" x14ac:dyDescent="0.25">
      <c r="A15" s="40">
        <v>4</v>
      </c>
      <c r="B15" s="43" t="s">
        <v>13</v>
      </c>
      <c r="C15" s="411"/>
      <c r="D15" s="488"/>
      <c r="E15" s="412"/>
    </row>
    <row r="16" spans="1:5" s="39" customFormat="1" x14ac:dyDescent="0.25">
      <c r="A16" s="404" t="s">
        <v>14</v>
      </c>
      <c r="B16" s="405"/>
      <c r="C16" s="405"/>
      <c r="D16" s="215" t="s">
        <v>275</v>
      </c>
      <c r="E16" s="216" t="s">
        <v>266</v>
      </c>
    </row>
    <row r="17" spans="1:5" s="39" customFormat="1" x14ac:dyDescent="0.25">
      <c r="A17" s="44">
        <v>1</v>
      </c>
      <c r="B17" s="406" t="s">
        <v>15</v>
      </c>
      <c r="C17" s="406"/>
      <c r="D17" s="61" t="s">
        <v>10</v>
      </c>
      <c r="E17" s="133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17431.95</v>
      </c>
      <c r="E18" s="128">
        <f>C13</f>
        <v>17431.95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134"/>
    </row>
    <row r="20" spans="1:5" s="38" customFormat="1" ht="15.75" customHeight="1" x14ac:dyDescent="0.25">
      <c r="A20" s="45" t="s">
        <v>3</v>
      </c>
      <c r="B20" s="46" t="s">
        <v>18</v>
      </c>
      <c r="C20" s="115" t="s">
        <v>244</v>
      </c>
      <c r="D20" s="83">
        <f>40%*1412</f>
        <v>564.79999999999995</v>
      </c>
      <c r="E20" s="134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>
        <f>((((D18+D20)/220)*20%)*8)*15.21</f>
        <v>1990.77</v>
      </c>
      <c r="E21" s="83">
        <f>((((E18+E20)/220)*20%)*8)*15.21</f>
        <v>1990.77</v>
      </c>
    </row>
    <row r="22" spans="1:5" s="38" customFormat="1" ht="15.75" customHeight="1" x14ac:dyDescent="0.25">
      <c r="A22" s="45" t="s">
        <v>20</v>
      </c>
      <c r="B22" s="46" t="s">
        <v>203</v>
      </c>
      <c r="C22" s="82"/>
      <c r="D22" s="83"/>
      <c r="E22" s="134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134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134"/>
    </row>
    <row r="25" spans="1:5" s="39" customFormat="1" ht="15.75" customHeight="1" x14ac:dyDescent="0.25">
      <c r="A25" s="418" t="s">
        <v>152</v>
      </c>
      <c r="B25" s="419"/>
      <c r="C25" s="419"/>
      <c r="D25" s="70">
        <f>SUM(D18:D24)</f>
        <v>19987.52</v>
      </c>
      <c r="E25" s="135">
        <f>SUM(E18:E24)</f>
        <v>19987.52</v>
      </c>
    </row>
    <row r="26" spans="1:5" s="39" customFormat="1" x14ac:dyDescent="0.25">
      <c r="A26" s="404" t="s">
        <v>51</v>
      </c>
      <c r="B26" s="405"/>
      <c r="C26" s="405"/>
      <c r="D26" s="183"/>
      <c r="E26" s="150"/>
    </row>
    <row r="27" spans="1:5" s="38" customFormat="1" x14ac:dyDescent="0.25">
      <c r="A27" s="52">
        <v>2</v>
      </c>
      <c r="B27" s="420" t="s">
        <v>204</v>
      </c>
      <c r="C27" s="421"/>
      <c r="D27" s="74" t="s">
        <v>10</v>
      </c>
      <c r="E27" s="137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1664.96</v>
      </c>
      <c r="E28" s="129">
        <f>(E25)*C28</f>
        <v>1664.96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2220.61</v>
      </c>
      <c r="E29" s="129">
        <f>(E25)*C29</f>
        <v>2220.61</v>
      </c>
    </row>
    <row r="30" spans="1:5" x14ac:dyDescent="0.25">
      <c r="A30" s="416" t="s">
        <v>27</v>
      </c>
      <c r="B30" s="417"/>
      <c r="C30" s="99">
        <f>SUM(C28:C29)</f>
        <v>0.19439999999999999</v>
      </c>
      <c r="D30" s="86">
        <f>SUM(D28:D29)</f>
        <v>3885.57</v>
      </c>
      <c r="E30" s="130">
        <f>SUM(E28:E29)</f>
        <v>3885.57</v>
      </c>
    </row>
    <row r="31" spans="1:5" ht="32.25" customHeight="1" x14ac:dyDescent="0.25">
      <c r="A31" s="476" t="s">
        <v>205</v>
      </c>
      <c r="B31" s="477"/>
      <c r="C31" s="477"/>
      <c r="D31" s="492"/>
      <c r="E31" s="478"/>
    </row>
    <row r="32" spans="1:5" x14ac:dyDescent="0.25">
      <c r="A32" s="77" t="s">
        <v>214</v>
      </c>
      <c r="B32" s="422" t="s">
        <v>25</v>
      </c>
      <c r="C32" s="423"/>
      <c r="D32" s="75" t="s">
        <v>10</v>
      </c>
      <c r="E32" s="136" t="s">
        <v>10</v>
      </c>
    </row>
    <row r="33" spans="1:5" x14ac:dyDescent="0.25">
      <c r="A33" s="50" t="s">
        <v>0</v>
      </c>
      <c r="B33" s="87" t="s">
        <v>206</v>
      </c>
      <c r="C33" s="59">
        <v>0.2</v>
      </c>
      <c r="D33" s="84">
        <f>(D25+D30)*C33</f>
        <v>4774.62</v>
      </c>
      <c r="E33" s="129">
        <f>(E25+E30)*C33</f>
        <v>4774.62</v>
      </c>
    </row>
    <row r="34" spans="1:5" x14ac:dyDescent="0.25">
      <c r="A34" s="50" t="s">
        <v>2</v>
      </c>
      <c r="B34" s="87" t="s">
        <v>207</v>
      </c>
      <c r="C34" s="88">
        <v>1.4999999999999999E-2</v>
      </c>
      <c r="D34" s="84">
        <f>(D25+D30)*C34</f>
        <v>358.1</v>
      </c>
      <c r="E34" s="129">
        <f>(E25+E30)*C34</f>
        <v>358.1</v>
      </c>
    </row>
    <row r="35" spans="1:5" x14ac:dyDescent="0.25">
      <c r="A35" s="50" t="s">
        <v>3</v>
      </c>
      <c r="B35" s="87" t="s">
        <v>208</v>
      </c>
      <c r="C35" s="88">
        <v>0.01</v>
      </c>
      <c r="D35" s="84">
        <f>(D25+D30)*C35</f>
        <v>238.73</v>
      </c>
      <c r="E35" s="129">
        <f>(E25+E30)*C35</f>
        <v>238.73</v>
      </c>
    </row>
    <row r="36" spans="1:5" ht="31.5" x14ac:dyDescent="0.25">
      <c r="A36" s="50" t="s">
        <v>5</v>
      </c>
      <c r="B36" s="73" t="s">
        <v>209</v>
      </c>
      <c r="C36" s="88">
        <v>2E-3</v>
      </c>
      <c r="D36" s="84">
        <f>(D25+D30)*C36</f>
        <v>47.75</v>
      </c>
      <c r="E36" s="129">
        <f>(E25+E30)*C36</f>
        <v>47.75</v>
      </c>
    </row>
    <row r="37" spans="1:5" x14ac:dyDescent="0.25">
      <c r="A37" s="50" t="s">
        <v>20</v>
      </c>
      <c r="B37" s="87" t="s">
        <v>210</v>
      </c>
      <c r="C37" s="88">
        <v>2.5000000000000001E-2</v>
      </c>
      <c r="D37" s="84">
        <f>(D25+D30)*C37</f>
        <v>596.83000000000004</v>
      </c>
      <c r="E37" s="129">
        <f>(E25+E30)*C37</f>
        <v>596.83000000000004</v>
      </c>
    </row>
    <row r="38" spans="1:5" x14ac:dyDescent="0.25">
      <c r="A38" s="50" t="s">
        <v>21</v>
      </c>
      <c r="B38" s="114" t="s">
        <v>211</v>
      </c>
      <c r="C38" s="88">
        <v>0.08</v>
      </c>
      <c r="D38" s="84">
        <f>(D25+D30)*C38</f>
        <v>1909.85</v>
      </c>
      <c r="E38" s="129">
        <f>(E25+E30)*C38</f>
        <v>1909.85</v>
      </c>
    </row>
    <row r="39" spans="1:5" ht="30.75" customHeight="1" x14ac:dyDescent="0.25">
      <c r="A39" s="50" t="s">
        <v>22</v>
      </c>
      <c r="B39" s="73" t="s">
        <v>212</v>
      </c>
      <c r="C39" s="88">
        <v>0.03</v>
      </c>
      <c r="D39" s="84">
        <f>(D25+D30)*C39</f>
        <v>716.19</v>
      </c>
      <c r="E39" s="129">
        <f>(E25+E30)*C39</f>
        <v>716.19</v>
      </c>
    </row>
    <row r="40" spans="1:5" x14ac:dyDescent="0.25">
      <c r="A40" s="50" t="s">
        <v>26</v>
      </c>
      <c r="B40" s="113" t="s">
        <v>213</v>
      </c>
      <c r="C40" s="88">
        <v>6.0000000000000001E-3</v>
      </c>
      <c r="D40" s="84">
        <f>(D25+D30)*C40</f>
        <v>143.24</v>
      </c>
      <c r="E40" s="129">
        <f>(E25+E30)*C40</f>
        <v>143.24</v>
      </c>
    </row>
    <row r="41" spans="1:5" s="30" customFormat="1" x14ac:dyDescent="0.25">
      <c r="A41" s="416" t="s">
        <v>27</v>
      </c>
      <c r="B41" s="417"/>
      <c r="C41" s="60">
        <f>SUM(C33:C40)</f>
        <v>0.36799999999999999</v>
      </c>
      <c r="D41" s="86">
        <f>SUM(D33:D40)</f>
        <v>8785.31</v>
      </c>
      <c r="E41" s="130">
        <f>SUM(E33:E40)</f>
        <v>8785.31</v>
      </c>
    </row>
    <row r="42" spans="1:5" s="30" customFormat="1" x14ac:dyDescent="0.25">
      <c r="A42" s="80" t="s">
        <v>215</v>
      </c>
      <c r="B42" s="414" t="s">
        <v>216</v>
      </c>
      <c r="C42" s="415"/>
      <c r="D42" s="111" t="s">
        <v>10</v>
      </c>
      <c r="E42" s="144" t="s">
        <v>10</v>
      </c>
    </row>
    <row r="43" spans="1:5" s="30" customFormat="1" x14ac:dyDescent="0.25">
      <c r="A43" s="98" t="s">
        <v>0</v>
      </c>
      <c r="B43" s="56" t="s">
        <v>144</v>
      </c>
      <c r="C43" s="112"/>
      <c r="D43" s="83">
        <v>0</v>
      </c>
      <c r="E43" s="83">
        <v>0</v>
      </c>
    </row>
    <row r="44" spans="1:5" s="30" customFormat="1" x14ac:dyDescent="0.25">
      <c r="A44" s="48" t="s">
        <v>2</v>
      </c>
      <c r="B44" s="47" t="s">
        <v>217</v>
      </c>
      <c r="C44" s="79"/>
      <c r="D44" s="83">
        <v>0</v>
      </c>
      <c r="E44" s="83">
        <v>0</v>
      </c>
    </row>
    <row r="45" spans="1:5" s="30" customFormat="1" x14ac:dyDescent="0.25">
      <c r="A45" s="50" t="s">
        <v>5</v>
      </c>
      <c r="B45" s="51" t="s">
        <v>134</v>
      </c>
      <c r="C45" s="90"/>
      <c r="D45" s="83">
        <v>0</v>
      </c>
      <c r="E45" s="83">
        <v>0</v>
      </c>
    </row>
    <row r="46" spans="1:5" s="30" customFormat="1" x14ac:dyDescent="0.25">
      <c r="A46" s="50" t="s">
        <v>20</v>
      </c>
      <c r="B46" s="51" t="s">
        <v>135</v>
      </c>
      <c r="C46" s="59"/>
      <c r="D46" s="83">
        <v>0</v>
      </c>
      <c r="E46" s="83">
        <v>0</v>
      </c>
    </row>
    <row r="47" spans="1:5" s="30" customFormat="1" x14ac:dyDescent="0.25">
      <c r="A47" s="50" t="s">
        <v>21</v>
      </c>
      <c r="B47" s="51" t="s">
        <v>136</v>
      </c>
      <c r="C47" s="90"/>
      <c r="D47" s="83">
        <v>0</v>
      </c>
      <c r="E47" s="83">
        <v>0</v>
      </c>
    </row>
    <row r="48" spans="1:5" s="30" customFormat="1" ht="15.75" customHeight="1" x14ac:dyDescent="0.25">
      <c r="A48" s="416" t="s">
        <v>23</v>
      </c>
      <c r="B48" s="417"/>
      <c r="C48" s="417"/>
      <c r="D48" s="86">
        <f>SUM(D43:D47)</f>
        <v>0</v>
      </c>
      <c r="E48" s="130">
        <f>SUM(E43:E47)</f>
        <v>0</v>
      </c>
    </row>
    <row r="49" spans="1:5" s="30" customFormat="1" ht="15.75" customHeight="1" x14ac:dyDescent="0.25">
      <c r="A49" s="404" t="s">
        <v>151</v>
      </c>
      <c r="B49" s="405"/>
      <c r="C49" s="405"/>
      <c r="D49" s="493"/>
      <c r="E49" s="479"/>
    </row>
    <row r="50" spans="1:5" s="30" customFormat="1" ht="15.75" customHeight="1" x14ac:dyDescent="0.25">
      <c r="A50" s="44" t="s">
        <v>141</v>
      </c>
      <c r="B50" s="104" t="s">
        <v>145</v>
      </c>
      <c r="C50" s="57"/>
      <c r="D50" s="69">
        <f>D30</f>
        <v>3885.57</v>
      </c>
      <c r="E50" s="138">
        <f>E30</f>
        <v>3885.57</v>
      </c>
    </row>
    <row r="51" spans="1:5" s="30" customFormat="1" ht="15.75" customHeight="1" x14ac:dyDescent="0.25">
      <c r="A51" s="44" t="s">
        <v>214</v>
      </c>
      <c r="B51" s="104" t="s">
        <v>146</v>
      </c>
      <c r="C51" s="57"/>
      <c r="D51" s="69">
        <f>D41</f>
        <v>8785.31</v>
      </c>
      <c r="E51" s="138">
        <f>E41</f>
        <v>8785.31</v>
      </c>
    </row>
    <row r="52" spans="1:5" s="30" customFormat="1" ht="15.75" customHeight="1" x14ac:dyDescent="0.25">
      <c r="A52" s="44" t="s">
        <v>215</v>
      </c>
      <c r="B52" s="104" t="s">
        <v>147</v>
      </c>
      <c r="C52" s="57"/>
      <c r="D52" s="69">
        <f>D48</f>
        <v>0</v>
      </c>
      <c r="E52" s="138">
        <f>E48</f>
        <v>0</v>
      </c>
    </row>
    <row r="53" spans="1:5" s="30" customFormat="1" ht="15.75" customHeight="1" x14ac:dyDescent="0.25">
      <c r="A53" s="418" t="s">
        <v>153</v>
      </c>
      <c r="B53" s="419"/>
      <c r="C53" s="419"/>
      <c r="D53" s="70">
        <f>SUM(D50:D52)</f>
        <v>12670.88</v>
      </c>
      <c r="E53" s="135">
        <f>SUM(E50:E52)</f>
        <v>12670.88</v>
      </c>
    </row>
    <row r="54" spans="1:5" s="30" customFormat="1" ht="15.75" customHeight="1" x14ac:dyDescent="0.25">
      <c r="A54" s="404" t="s">
        <v>162</v>
      </c>
      <c r="B54" s="405"/>
      <c r="C54" s="405"/>
      <c r="D54" s="493"/>
      <c r="E54" s="479"/>
    </row>
    <row r="55" spans="1:5" s="30" customFormat="1" ht="15.75" customHeight="1" x14ac:dyDescent="0.25">
      <c r="A55" s="52" t="s">
        <v>199</v>
      </c>
      <c r="B55" s="420" t="s">
        <v>32</v>
      </c>
      <c r="C55" s="429"/>
      <c r="D55" s="74" t="s">
        <v>10</v>
      </c>
      <c r="E55" s="137" t="s">
        <v>10</v>
      </c>
    </row>
    <row r="56" spans="1:5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84">
        <f>D$25*C56</f>
        <v>91.94</v>
      </c>
      <c r="E56" s="129">
        <f>E$25*C56</f>
        <v>91.94</v>
      </c>
    </row>
    <row r="57" spans="1:5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84">
        <f>D$25*C57</f>
        <v>8</v>
      </c>
      <c r="E57" s="129">
        <f>E$25*C57</f>
        <v>8</v>
      </c>
    </row>
    <row r="58" spans="1:5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84">
        <f>D$25*C58</f>
        <v>387.76</v>
      </c>
      <c r="E58" s="129">
        <f>E$25*C58</f>
        <v>387.76</v>
      </c>
    </row>
    <row r="59" spans="1:5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84">
        <f>D$25*C59</f>
        <v>141.91</v>
      </c>
      <c r="E59" s="129">
        <f>E$25*C59</f>
        <v>141.91</v>
      </c>
    </row>
    <row r="60" spans="1:5" s="30" customFormat="1" ht="32.25" customHeight="1" x14ac:dyDescent="0.25">
      <c r="A60" s="50" t="s">
        <v>20</v>
      </c>
      <c r="B60" s="51" t="s">
        <v>218</v>
      </c>
      <c r="C60" s="59">
        <v>0.04</v>
      </c>
      <c r="D60" s="84">
        <f>D$25*C60</f>
        <v>799.5</v>
      </c>
      <c r="E60" s="129">
        <f>E$25*C60</f>
        <v>799.5</v>
      </c>
    </row>
    <row r="61" spans="1:5" s="30" customFormat="1" x14ac:dyDescent="0.25">
      <c r="A61" s="418" t="s">
        <v>154</v>
      </c>
      <c r="B61" s="419"/>
      <c r="C61" s="419"/>
      <c r="D61" s="70">
        <f>SUM(D56:D60)</f>
        <v>1429.11</v>
      </c>
      <c r="E61" s="135">
        <f>SUM(E56:E60)</f>
        <v>1429.11</v>
      </c>
    </row>
    <row r="62" spans="1:5" s="30" customFormat="1" x14ac:dyDescent="0.25">
      <c r="A62" s="404" t="s">
        <v>163</v>
      </c>
      <c r="B62" s="405"/>
      <c r="C62" s="405"/>
      <c r="D62" s="493"/>
      <c r="E62" s="479"/>
    </row>
    <row r="63" spans="1:5" s="30" customFormat="1" x14ac:dyDescent="0.25">
      <c r="A63" s="52" t="s">
        <v>198</v>
      </c>
      <c r="B63" s="430" t="s">
        <v>36</v>
      </c>
      <c r="C63" s="430"/>
      <c r="D63" s="74" t="s">
        <v>10</v>
      </c>
      <c r="E63" s="137" t="s">
        <v>10</v>
      </c>
    </row>
    <row r="64" spans="1:5" s="30" customFormat="1" x14ac:dyDescent="0.25">
      <c r="A64" s="50" t="s">
        <v>0</v>
      </c>
      <c r="B64" s="51" t="s">
        <v>191</v>
      </c>
      <c r="C64" s="59">
        <v>9.2999999999999992E-3</v>
      </c>
      <c r="D64" s="84">
        <f t="shared" ref="D64:D69" si="0">(D$25+D$53+D$61+D$84)*C64</f>
        <v>317.35000000000002</v>
      </c>
      <c r="E64" s="129">
        <f t="shared" ref="E64:E69" si="1">(E$25+E$53+E$61+E$84)*C64</f>
        <v>317.35000000000002</v>
      </c>
    </row>
    <row r="65" spans="1:5" s="30" customFormat="1" x14ac:dyDescent="0.25">
      <c r="A65" s="50" t="s">
        <v>2</v>
      </c>
      <c r="B65" s="51" t="s">
        <v>192</v>
      </c>
      <c r="C65" s="59">
        <v>1.66E-2</v>
      </c>
      <c r="D65" s="84">
        <f t="shared" si="0"/>
        <v>566.46</v>
      </c>
      <c r="E65" s="129">
        <f t="shared" si="1"/>
        <v>566.46</v>
      </c>
    </row>
    <row r="66" spans="1:5" s="30" customFormat="1" x14ac:dyDescent="0.25">
      <c r="A66" s="50" t="s">
        <v>3</v>
      </c>
      <c r="B66" s="51" t="s">
        <v>193</v>
      </c>
      <c r="C66" s="59">
        <v>2.0000000000000001E-4</v>
      </c>
      <c r="D66" s="84">
        <f t="shared" si="0"/>
        <v>6.82</v>
      </c>
      <c r="E66" s="129">
        <f t="shared" si="1"/>
        <v>6.82</v>
      </c>
    </row>
    <row r="67" spans="1:5" s="30" customFormat="1" x14ac:dyDescent="0.25">
      <c r="A67" s="50" t="s">
        <v>5</v>
      </c>
      <c r="B67" s="51" t="s">
        <v>194</v>
      </c>
      <c r="C67" s="59">
        <v>2.7000000000000001E-3</v>
      </c>
      <c r="D67" s="84">
        <f t="shared" si="0"/>
        <v>92.14</v>
      </c>
      <c r="E67" s="129">
        <f t="shared" si="1"/>
        <v>92.14</v>
      </c>
    </row>
    <row r="68" spans="1:5" s="30" customFormat="1" x14ac:dyDescent="0.25">
      <c r="A68" s="50" t="s">
        <v>20</v>
      </c>
      <c r="B68" s="51" t="s">
        <v>195</v>
      </c>
      <c r="C68" s="59">
        <v>2.9999999999999997E-4</v>
      </c>
      <c r="D68" s="84">
        <f t="shared" si="0"/>
        <v>10.24</v>
      </c>
      <c r="E68" s="129">
        <f t="shared" si="1"/>
        <v>10.24</v>
      </c>
    </row>
    <row r="69" spans="1:5" s="30" customFormat="1" ht="15.75" customHeight="1" x14ac:dyDescent="0.25">
      <c r="A69" s="50" t="s">
        <v>21</v>
      </c>
      <c r="B69" s="55" t="s">
        <v>196</v>
      </c>
      <c r="C69" s="59">
        <v>0</v>
      </c>
      <c r="D69" s="84">
        <f t="shared" si="0"/>
        <v>0</v>
      </c>
      <c r="E69" s="129">
        <f t="shared" si="1"/>
        <v>0</v>
      </c>
    </row>
    <row r="70" spans="1:5" s="30" customFormat="1" x14ac:dyDescent="0.25">
      <c r="A70" s="416" t="s">
        <v>29</v>
      </c>
      <c r="B70" s="417"/>
      <c r="C70" s="60">
        <f>SUM(C64:C69)</f>
        <v>2.9100000000000001E-2</v>
      </c>
      <c r="D70" s="86">
        <f>SUM(D64:D69)</f>
        <v>993.01</v>
      </c>
      <c r="E70" s="130">
        <f>SUM(E64:E69)</f>
        <v>993.01</v>
      </c>
    </row>
    <row r="71" spans="1:5" s="30" customFormat="1" x14ac:dyDescent="0.25">
      <c r="A71" s="44"/>
      <c r="B71" s="57"/>
      <c r="C71" s="78"/>
      <c r="D71" s="188"/>
      <c r="E71" s="128"/>
    </row>
    <row r="72" spans="1:5" s="30" customFormat="1" x14ac:dyDescent="0.25">
      <c r="A72" s="44"/>
      <c r="B72" s="406" t="s">
        <v>200</v>
      </c>
      <c r="C72" s="431"/>
      <c r="D72" s="74" t="s">
        <v>10</v>
      </c>
      <c r="E72" s="137" t="s">
        <v>10</v>
      </c>
    </row>
    <row r="73" spans="1:5" s="30" customFormat="1" x14ac:dyDescent="0.25">
      <c r="A73" s="48" t="s">
        <v>0</v>
      </c>
      <c r="B73" s="116" t="s">
        <v>201</v>
      </c>
      <c r="C73" s="151">
        <v>0</v>
      </c>
      <c r="D73" s="191">
        <v>0</v>
      </c>
      <c r="E73" s="153">
        <v>0</v>
      </c>
    </row>
    <row r="74" spans="1:5" s="30" customFormat="1" ht="15.75" customHeight="1" x14ac:dyDescent="0.25">
      <c r="A74" s="416" t="s">
        <v>27</v>
      </c>
      <c r="B74" s="417"/>
      <c r="C74" s="101">
        <v>0</v>
      </c>
      <c r="D74" s="86">
        <f>D73</f>
        <v>0</v>
      </c>
      <c r="E74" s="130">
        <f>E73</f>
        <v>0</v>
      </c>
    </row>
    <row r="75" spans="1:5" s="30" customFormat="1" ht="15.75" customHeight="1" x14ac:dyDescent="0.25">
      <c r="A75" s="404" t="s">
        <v>30</v>
      </c>
      <c r="B75" s="405"/>
      <c r="C75" s="405"/>
      <c r="D75" s="493"/>
      <c r="E75" s="479"/>
    </row>
    <row r="76" spans="1:5" s="30" customFormat="1" ht="15.75" customHeight="1" x14ac:dyDescent="0.25">
      <c r="A76" s="432" t="s">
        <v>202</v>
      </c>
      <c r="B76" s="433"/>
      <c r="C76" s="433"/>
      <c r="D76" s="494"/>
      <c r="E76" s="485"/>
    </row>
    <row r="77" spans="1:5" s="30" customFormat="1" ht="15.75" customHeight="1" x14ac:dyDescent="0.25">
      <c r="A77" s="52">
        <v>4</v>
      </c>
      <c r="B77" s="420" t="s">
        <v>219</v>
      </c>
      <c r="C77" s="429"/>
      <c r="D77" s="74" t="s">
        <v>10</v>
      </c>
      <c r="E77" s="137" t="s">
        <v>10</v>
      </c>
    </row>
    <row r="78" spans="1:5" s="30" customFormat="1" ht="15.75" customHeight="1" x14ac:dyDescent="0.25">
      <c r="A78" s="50" t="s">
        <v>198</v>
      </c>
      <c r="B78" s="51" t="s">
        <v>197</v>
      </c>
      <c r="C78" s="59">
        <f>C70</f>
        <v>2.9100000000000001E-2</v>
      </c>
      <c r="D78" s="84">
        <f>D70</f>
        <v>993.01</v>
      </c>
      <c r="E78" s="129">
        <f>E70</f>
        <v>993.01</v>
      </c>
    </row>
    <row r="79" spans="1:5" s="30" customFormat="1" ht="15.75" customHeight="1" x14ac:dyDescent="0.25">
      <c r="A79" s="50" t="s">
        <v>220</v>
      </c>
      <c r="B79" s="51" t="s">
        <v>200</v>
      </c>
      <c r="C79" s="59">
        <v>0</v>
      </c>
      <c r="D79" s="84">
        <f>(D$25+D$53+D$61)*C79</f>
        <v>0</v>
      </c>
      <c r="E79" s="129">
        <f>(E$25+E$53+E$61)*C79</f>
        <v>0</v>
      </c>
    </row>
    <row r="80" spans="1:5" s="30" customFormat="1" ht="15.75" customHeight="1" x14ac:dyDescent="0.25">
      <c r="A80" s="416" t="s">
        <v>27</v>
      </c>
      <c r="B80" s="417"/>
      <c r="C80" s="99">
        <f>SUM(C78:C79)</f>
        <v>2.9100000000000001E-2</v>
      </c>
      <c r="D80" s="86">
        <f>SUM(D78:D79)</f>
        <v>993.01</v>
      </c>
      <c r="E80" s="130">
        <f>SUM(E78:E79)</f>
        <v>993.01</v>
      </c>
    </row>
    <row r="81" spans="1:5" s="30" customFormat="1" ht="15.75" customHeight="1" x14ac:dyDescent="0.25">
      <c r="A81" s="418" t="s">
        <v>155</v>
      </c>
      <c r="B81" s="419"/>
      <c r="C81" s="419"/>
      <c r="D81" s="70">
        <f>SUM(D74+D80)</f>
        <v>993.01</v>
      </c>
      <c r="E81" s="135">
        <f>SUM(E74+E80)</f>
        <v>993.01</v>
      </c>
    </row>
    <row r="82" spans="1:5" s="30" customFormat="1" ht="15.75" customHeight="1" x14ac:dyDescent="0.25">
      <c r="A82" s="427" t="s">
        <v>164</v>
      </c>
      <c r="B82" s="428"/>
      <c r="C82" s="428"/>
      <c r="D82" s="495"/>
      <c r="E82" s="484"/>
    </row>
    <row r="83" spans="1:5" s="30" customFormat="1" ht="15.75" customHeight="1" x14ac:dyDescent="0.25">
      <c r="A83" s="52">
        <v>5</v>
      </c>
      <c r="B83" s="420" t="s">
        <v>24</v>
      </c>
      <c r="C83" s="429"/>
      <c r="D83" s="74" t="s">
        <v>10</v>
      </c>
      <c r="E83" s="137" t="s">
        <v>10</v>
      </c>
    </row>
    <row r="84" spans="1:5" s="30" customFormat="1" ht="15.75" customHeight="1" x14ac:dyDescent="0.25">
      <c r="A84" s="233" t="s">
        <v>0</v>
      </c>
      <c r="B84" s="435" t="s">
        <v>221</v>
      </c>
      <c r="C84" s="435"/>
      <c r="D84" s="227">
        <f>Uniformes!H7</f>
        <v>36.61</v>
      </c>
      <c r="E84" s="232">
        <f>Uniformes!H7</f>
        <v>36.61</v>
      </c>
    </row>
    <row r="85" spans="1:5" s="30" customFormat="1" ht="15.75" customHeight="1" x14ac:dyDescent="0.25">
      <c r="A85" s="233" t="s">
        <v>2</v>
      </c>
      <c r="B85" s="435" t="s">
        <v>222</v>
      </c>
      <c r="C85" s="435"/>
      <c r="D85" s="227">
        <f>Materiais!H19</f>
        <v>44.57</v>
      </c>
      <c r="E85" s="232">
        <f>Materiais!H20</f>
        <v>44.57</v>
      </c>
    </row>
    <row r="86" spans="1:5" s="30" customFormat="1" ht="15.75" customHeight="1" x14ac:dyDescent="0.25">
      <c r="A86" s="233" t="s">
        <v>3</v>
      </c>
      <c r="B86" s="435" t="s">
        <v>187</v>
      </c>
      <c r="C86" s="435"/>
      <c r="D86" s="229">
        <f>Equipamentos!H19</f>
        <v>922.4</v>
      </c>
      <c r="E86" s="234">
        <f>Equipamentos!H20</f>
        <v>922.4</v>
      </c>
    </row>
    <row r="87" spans="1:5" s="30" customFormat="1" ht="15.75" customHeight="1" x14ac:dyDescent="0.25">
      <c r="A87" s="233" t="s">
        <v>5</v>
      </c>
      <c r="B87" s="435" t="s">
        <v>137</v>
      </c>
      <c r="C87" s="435"/>
      <c r="D87" s="227">
        <v>0</v>
      </c>
      <c r="E87" s="232">
        <v>0</v>
      </c>
    </row>
    <row r="88" spans="1:5" s="30" customFormat="1" ht="15.75" customHeight="1" x14ac:dyDescent="0.25">
      <c r="A88" s="418" t="s">
        <v>156</v>
      </c>
      <c r="B88" s="419"/>
      <c r="C88" s="419"/>
      <c r="D88" s="70">
        <f>SUM(D84:D87)</f>
        <v>1003.58</v>
      </c>
      <c r="E88" s="135">
        <f>SUM(E84:E87)</f>
        <v>1003.58</v>
      </c>
    </row>
    <row r="89" spans="1:5" s="30" customFormat="1" ht="30" customHeight="1" x14ac:dyDescent="0.25">
      <c r="A89" s="427" t="s">
        <v>37</v>
      </c>
      <c r="B89" s="428"/>
      <c r="C89" s="428"/>
      <c r="D89" s="161">
        <f>D88+D81+D61+D53+D25</f>
        <v>36084.1</v>
      </c>
      <c r="E89" s="139">
        <f>E88+E81+E61+E53+E25</f>
        <v>36084.1</v>
      </c>
    </row>
    <row r="90" spans="1:5" s="30" customFormat="1" ht="19.5" customHeight="1" x14ac:dyDescent="0.25">
      <c r="A90" s="404" t="s">
        <v>165</v>
      </c>
      <c r="B90" s="405"/>
      <c r="C90" s="405"/>
      <c r="D90" s="493"/>
      <c r="E90" s="479"/>
    </row>
    <row r="91" spans="1:5" s="30" customFormat="1" x14ac:dyDescent="0.25">
      <c r="A91" s="52">
        <v>5</v>
      </c>
      <c r="B91" s="420" t="s">
        <v>38</v>
      </c>
      <c r="C91" s="421"/>
      <c r="D91" s="74" t="s">
        <v>10</v>
      </c>
      <c r="E91" s="137" t="s">
        <v>10</v>
      </c>
    </row>
    <row r="92" spans="1:5" s="30" customFormat="1" x14ac:dyDescent="0.25">
      <c r="A92" s="52" t="s">
        <v>0</v>
      </c>
      <c r="B92" s="51" t="s">
        <v>39</v>
      </c>
      <c r="C92" s="59">
        <v>0.03</v>
      </c>
      <c r="D92" s="84">
        <f>D89*C92</f>
        <v>1082.52</v>
      </c>
      <c r="E92" s="129">
        <f>E89*C92</f>
        <v>1082.52</v>
      </c>
    </row>
    <row r="93" spans="1:5" s="30" customFormat="1" x14ac:dyDescent="0.25">
      <c r="A93" s="52" t="s">
        <v>2</v>
      </c>
      <c r="B93" s="51" t="s">
        <v>40</v>
      </c>
      <c r="C93" s="59">
        <v>6.7900000000000002E-2</v>
      </c>
      <c r="D93" s="84">
        <f>C93*(D89+D92)</f>
        <v>2523.61</v>
      </c>
      <c r="E93" s="129">
        <f>C93*(E89+E92)</f>
        <v>2523.61</v>
      </c>
    </row>
    <row r="94" spans="1:5" s="30" customFormat="1" ht="31.5" x14ac:dyDescent="0.25">
      <c r="A94" s="436" t="s">
        <v>3</v>
      </c>
      <c r="B94" s="51" t="s">
        <v>50</v>
      </c>
      <c r="C94" s="59">
        <f>1-C102</f>
        <v>0.85750000000000004</v>
      </c>
      <c r="D94" s="84">
        <f>D89+D92+D93</f>
        <v>39690.230000000003</v>
      </c>
      <c r="E94" s="129">
        <f>E89+E92+E93</f>
        <v>39690.230000000003</v>
      </c>
    </row>
    <row r="95" spans="1:5" s="30" customFormat="1" x14ac:dyDescent="0.25">
      <c r="A95" s="436"/>
      <c r="B95" s="55" t="s">
        <v>41</v>
      </c>
      <c r="C95" s="95"/>
      <c r="D95" s="162">
        <f>+D94/C94</f>
        <v>46285.98</v>
      </c>
      <c r="E95" s="140">
        <f>+E94/C94</f>
        <v>46285.98</v>
      </c>
    </row>
    <row r="96" spans="1:5" s="30" customFormat="1" x14ac:dyDescent="0.25">
      <c r="A96" s="436"/>
      <c r="B96" s="55" t="s">
        <v>42</v>
      </c>
      <c r="C96" s="72"/>
      <c r="D96" s="84"/>
      <c r="E96" s="129"/>
    </row>
    <row r="97" spans="1:5" s="30" customFormat="1" x14ac:dyDescent="0.25">
      <c r="A97" s="436"/>
      <c r="B97" s="51" t="s">
        <v>130</v>
      </c>
      <c r="C97" s="59">
        <v>1.6500000000000001E-2</v>
      </c>
      <c r="D97" s="84">
        <f>+D95*C97</f>
        <v>763.72</v>
      </c>
      <c r="E97" s="129">
        <f>+E95*C97</f>
        <v>763.72</v>
      </c>
    </row>
    <row r="98" spans="1:5" s="30" customFormat="1" x14ac:dyDescent="0.25">
      <c r="A98" s="436"/>
      <c r="B98" s="51" t="s">
        <v>131</v>
      </c>
      <c r="C98" s="59">
        <v>7.5999999999999998E-2</v>
      </c>
      <c r="D98" s="84">
        <f>+D95*C98</f>
        <v>3517.73</v>
      </c>
      <c r="E98" s="129">
        <f>+E95*C98</f>
        <v>3517.73</v>
      </c>
    </row>
    <row r="99" spans="1:5" s="30" customFormat="1" x14ac:dyDescent="0.25">
      <c r="A99" s="436"/>
      <c r="B99" s="53" t="s">
        <v>43</v>
      </c>
      <c r="C99" s="95"/>
      <c r="D99" s="84"/>
      <c r="E99" s="129"/>
    </row>
    <row r="100" spans="1:5" s="30" customFormat="1" x14ac:dyDescent="0.25">
      <c r="A100" s="436"/>
      <c r="B100" s="53" t="s">
        <v>44</v>
      </c>
      <c r="C100" s="102"/>
      <c r="D100" s="84"/>
      <c r="E100" s="129"/>
    </row>
    <row r="101" spans="1:5" s="30" customFormat="1" x14ac:dyDescent="0.25">
      <c r="A101" s="436"/>
      <c r="B101" s="51" t="s">
        <v>142</v>
      </c>
      <c r="C101" s="59">
        <v>0.05</v>
      </c>
      <c r="D101" s="84">
        <f>+D95*C101</f>
        <v>2314.3000000000002</v>
      </c>
      <c r="E101" s="129">
        <f>+E95*C101</f>
        <v>2314.3000000000002</v>
      </c>
    </row>
    <row r="102" spans="1:5" s="30" customFormat="1" x14ac:dyDescent="0.25">
      <c r="A102" s="52"/>
      <c r="B102" s="106" t="s">
        <v>45</v>
      </c>
      <c r="C102" s="107">
        <f>SUM(C97:C101)</f>
        <v>0.14249999999999999</v>
      </c>
      <c r="D102" s="108">
        <f>SUM(D97:D101)</f>
        <v>6595.75</v>
      </c>
      <c r="E102" s="142">
        <f>SUM(E97:E101)</f>
        <v>6595.75</v>
      </c>
    </row>
    <row r="103" spans="1:5" s="30" customFormat="1" ht="15.75" customHeight="1" x14ac:dyDescent="0.25">
      <c r="A103" s="416" t="s">
        <v>46</v>
      </c>
      <c r="B103" s="417"/>
      <c r="C103" s="417"/>
      <c r="D103" s="86">
        <f>+D92+D93+D102</f>
        <v>10201.879999999999</v>
      </c>
      <c r="E103" s="130">
        <f>+E92+E93+E102</f>
        <v>10201.879999999999</v>
      </c>
    </row>
    <row r="104" spans="1:5" s="30" customFormat="1" ht="15.75" customHeight="1" x14ac:dyDescent="0.25">
      <c r="A104" s="442" t="s">
        <v>47</v>
      </c>
      <c r="B104" s="443"/>
      <c r="C104" s="443"/>
      <c r="D104" s="76" t="s">
        <v>10</v>
      </c>
      <c r="E104" s="152" t="s">
        <v>10</v>
      </c>
    </row>
    <row r="105" spans="1:5" s="30" customFormat="1" x14ac:dyDescent="0.25">
      <c r="A105" s="50" t="s">
        <v>0</v>
      </c>
      <c r="B105" s="438" t="s">
        <v>48</v>
      </c>
      <c r="C105" s="438"/>
      <c r="D105" s="84">
        <f>D25</f>
        <v>19987.52</v>
      </c>
      <c r="E105" s="129">
        <f>E25</f>
        <v>19987.52</v>
      </c>
    </row>
    <row r="106" spans="1:5" s="30" customFormat="1" x14ac:dyDescent="0.25">
      <c r="A106" s="50" t="s">
        <v>2</v>
      </c>
      <c r="B106" s="438" t="s">
        <v>159</v>
      </c>
      <c r="C106" s="438"/>
      <c r="D106" s="84">
        <f>D53</f>
        <v>12670.88</v>
      </c>
      <c r="E106" s="129">
        <f>E53</f>
        <v>12670.88</v>
      </c>
    </row>
    <row r="107" spans="1:5" s="30" customFormat="1" x14ac:dyDescent="0.25">
      <c r="A107" s="50" t="s">
        <v>3</v>
      </c>
      <c r="B107" s="438" t="s">
        <v>157</v>
      </c>
      <c r="C107" s="438"/>
      <c r="D107" s="84">
        <f>D61</f>
        <v>1429.11</v>
      </c>
      <c r="E107" s="129">
        <f>E61</f>
        <v>1429.11</v>
      </c>
    </row>
    <row r="108" spans="1:5" s="30" customFormat="1" x14ac:dyDescent="0.25">
      <c r="A108" s="50" t="s">
        <v>5</v>
      </c>
      <c r="B108" s="452" t="s">
        <v>150</v>
      </c>
      <c r="C108" s="453"/>
      <c r="D108" s="84">
        <f>D81</f>
        <v>993.01</v>
      </c>
      <c r="E108" s="129">
        <f>E81</f>
        <v>993.01</v>
      </c>
    </row>
    <row r="109" spans="1:5" s="30" customFormat="1" x14ac:dyDescent="0.25">
      <c r="A109" s="50" t="s">
        <v>20</v>
      </c>
      <c r="B109" s="452" t="s">
        <v>158</v>
      </c>
      <c r="C109" s="453"/>
      <c r="D109" s="84">
        <f>D88</f>
        <v>1003.58</v>
      </c>
      <c r="E109" s="129">
        <f>E88</f>
        <v>1003.58</v>
      </c>
    </row>
    <row r="110" spans="1:5" s="30" customFormat="1" ht="15.75" customHeight="1" x14ac:dyDescent="0.25">
      <c r="A110" s="436" t="s">
        <v>160</v>
      </c>
      <c r="B110" s="437"/>
      <c r="C110" s="437"/>
      <c r="D110" s="108">
        <f>SUM(D105:D109)</f>
        <v>36084.1</v>
      </c>
      <c r="E110" s="142">
        <f>SUM(E105:E109)</f>
        <v>36084.1</v>
      </c>
    </row>
    <row r="111" spans="1:5" s="30" customFormat="1" x14ac:dyDescent="0.25">
      <c r="A111" s="52" t="s">
        <v>20</v>
      </c>
      <c r="B111" s="438" t="s">
        <v>161</v>
      </c>
      <c r="C111" s="438"/>
      <c r="D111" s="84">
        <f>+D103</f>
        <v>10201.879999999999</v>
      </c>
      <c r="E111" s="129">
        <f>+E103</f>
        <v>10201.879999999999</v>
      </c>
    </row>
    <row r="112" spans="1:5" s="30" customFormat="1" ht="16.5" customHeight="1" thickBot="1" x14ac:dyDescent="0.3">
      <c r="A112" s="505" t="s">
        <v>49</v>
      </c>
      <c r="B112" s="506"/>
      <c r="C112" s="506"/>
      <c r="D112" s="192">
        <f>+D110+D111</f>
        <v>46285.98</v>
      </c>
      <c r="E112" s="193">
        <f>+E110+E111</f>
        <v>46285.98</v>
      </c>
    </row>
    <row r="113" spans="1:5" ht="16.5" thickBot="1" x14ac:dyDescent="0.3">
      <c r="A113" s="507" t="s">
        <v>233</v>
      </c>
      <c r="B113" s="508"/>
      <c r="C113" s="508"/>
      <c r="D113" s="508"/>
      <c r="E113" s="509"/>
    </row>
    <row r="114" spans="1:5" ht="15.75" customHeight="1" x14ac:dyDescent="0.25">
      <c r="A114" s="496" t="s">
        <v>306</v>
      </c>
      <c r="B114" s="497"/>
      <c r="C114" s="497"/>
      <c r="D114" s="497"/>
      <c r="E114" s="498"/>
    </row>
    <row r="115" spans="1:5" x14ac:dyDescent="0.25">
      <c r="A115" s="499"/>
      <c r="B115" s="500"/>
      <c r="C115" s="500"/>
      <c r="D115" s="500"/>
      <c r="E115" s="501"/>
    </row>
    <row r="116" spans="1:5" x14ac:dyDescent="0.25">
      <c r="A116" s="499"/>
      <c r="B116" s="500"/>
      <c r="C116" s="500"/>
      <c r="D116" s="500"/>
      <c r="E116" s="501"/>
    </row>
    <row r="117" spans="1:5" x14ac:dyDescent="0.25">
      <c r="A117" s="499"/>
      <c r="B117" s="500"/>
      <c r="C117" s="500"/>
      <c r="D117" s="500"/>
      <c r="E117" s="501"/>
    </row>
    <row r="118" spans="1:5" x14ac:dyDescent="0.25">
      <c r="A118" s="499"/>
      <c r="B118" s="500"/>
      <c r="C118" s="500"/>
      <c r="D118" s="500"/>
      <c r="E118" s="501"/>
    </row>
    <row r="119" spans="1:5" x14ac:dyDescent="0.25">
      <c r="A119" s="499"/>
      <c r="B119" s="500"/>
      <c r="C119" s="500"/>
      <c r="D119" s="500"/>
      <c r="E119" s="501"/>
    </row>
    <row r="120" spans="1:5" x14ac:dyDescent="0.25">
      <c r="A120" s="499"/>
      <c r="B120" s="500"/>
      <c r="C120" s="500"/>
      <c r="D120" s="500"/>
      <c r="E120" s="501"/>
    </row>
    <row r="121" spans="1:5" x14ac:dyDescent="0.25">
      <c r="A121" s="499"/>
      <c r="B121" s="500"/>
      <c r="C121" s="500"/>
      <c r="D121" s="500"/>
      <c r="E121" s="501"/>
    </row>
    <row r="122" spans="1:5" ht="16.5" thickBot="1" x14ac:dyDescent="0.3">
      <c r="A122" s="502"/>
      <c r="B122" s="503"/>
      <c r="C122" s="503"/>
      <c r="D122" s="503"/>
      <c r="E122" s="504"/>
    </row>
    <row r="124" spans="1:5" x14ac:dyDescent="0.25">
      <c r="B124" s="28"/>
    </row>
  </sheetData>
  <mergeCells count="65">
    <mergeCell ref="A114:E122"/>
    <mergeCell ref="B111:C111"/>
    <mergeCell ref="A112:C112"/>
    <mergeCell ref="A113:E113"/>
    <mergeCell ref="D11:E11"/>
    <mergeCell ref="B105:C105"/>
    <mergeCell ref="B106:C106"/>
    <mergeCell ref="B107:C107"/>
    <mergeCell ref="B108:C108"/>
    <mergeCell ref="B109:C109"/>
    <mergeCell ref="A110:C110"/>
    <mergeCell ref="A89:C89"/>
    <mergeCell ref="A90:E90"/>
    <mergeCell ref="B91:C91"/>
    <mergeCell ref="A94:A101"/>
    <mergeCell ref="A103:C103"/>
    <mergeCell ref="A104:C104"/>
    <mergeCell ref="B83:C83"/>
    <mergeCell ref="B84:C84"/>
    <mergeCell ref="B85:C85"/>
    <mergeCell ref="B86:C86"/>
    <mergeCell ref="B87:C87"/>
    <mergeCell ref="A88:C88"/>
    <mergeCell ref="A82:E82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C6:E6"/>
    <mergeCell ref="A1:E1"/>
    <mergeCell ref="A2:E2"/>
    <mergeCell ref="A3:E3"/>
    <mergeCell ref="C4:E4"/>
    <mergeCell ref="C5:E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>
    <pageSetUpPr fitToPage="1"/>
  </sheetPr>
  <dimension ref="A1:H22"/>
  <sheetViews>
    <sheetView view="pageBreakPreview" zoomScaleNormal="100" zoomScaleSheetLayoutView="100" workbookViewId="0">
      <selection activeCell="L21" sqref="L21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510" t="s">
        <v>229</v>
      </c>
      <c r="B1" s="511"/>
      <c r="C1" s="511"/>
      <c r="D1" s="511"/>
      <c r="E1" s="511"/>
      <c r="F1" s="511"/>
      <c r="G1" s="511"/>
      <c r="H1" s="512"/>
    </row>
    <row r="2" spans="1:8" ht="15" customHeight="1" x14ac:dyDescent="0.25">
      <c r="A2" s="122" t="s">
        <v>166</v>
      </c>
      <c r="B2" s="120" t="s">
        <v>186</v>
      </c>
      <c r="C2" s="120" t="s">
        <v>276</v>
      </c>
      <c r="D2" s="120" t="s">
        <v>168</v>
      </c>
      <c r="E2" s="120" t="s">
        <v>168</v>
      </c>
      <c r="F2" s="120" t="s">
        <v>169</v>
      </c>
      <c r="G2" s="120" t="s">
        <v>225</v>
      </c>
      <c r="H2" s="237" t="s">
        <v>172</v>
      </c>
    </row>
    <row r="3" spans="1:8" ht="15" customHeight="1" x14ac:dyDescent="0.25">
      <c r="A3" s="238">
        <v>1</v>
      </c>
      <c r="B3" s="194" t="s">
        <v>277</v>
      </c>
      <c r="C3" s="194" t="s">
        <v>278</v>
      </c>
      <c r="D3" s="194">
        <v>2</v>
      </c>
      <c r="E3" s="194">
        <f>D3*2</f>
        <v>4</v>
      </c>
      <c r="F3" s="197">
        <v>47.92</v>
      </c>
      <c r="G3" s="239">
        <f>F3*E3</f>
        <v>191.68</v>
      </c>
      <c r="H3" s="240">
        <f>G3/12</f>
        <v>15.97</v>
      </c>
    </row>
    <row r="4" spans="1:8" ht="15" customHeight="1" x14ac:dyDescent="0.25">
      <c r="A4" s="238">
        <f>A3+1</f>
        <v>2</v>
      </c>
      <c r="B4" s="241" t="s">
        <v>279</v>
      </c>
      <c r="C4" s="194" t="s">
        <v>278</v>
      </c>
      <c r="D4" s="242">
        <v>2</v>
      </c>
      <c r="E4" s="194">
        <f t="shared" ref="E4:E6" si="0">D4*2</f>
        <v>4</v>
      </c>
      <c r="F4" s="239">
        <v>36.46</v>
      </c>
      <c r="G4" s="239">
        <f>F4*E4</f>
        <v>145.84</v>
      </c>
      <c r="H4" s="240">
        <f>G4/12</f>
        <v>12.15</v>
      </c>
    </row>
    <row r="5" spans="1:8" ht="15" customHeight="1" x14ac:dyDescent="0.25">
      <c r="A5" s="238">
        <f>A4+1</f>
        <v>3</v>
      </c>
      <c r="B5" s="241" t="s">
        <v>280</v>
      </c>
      <c r="C5" s="194" t="s">
        <v>278</v>
      </c>
      <c r="D5" s="242">
        <v>1</v>
      </c>
      <c r="E5" s="194">
        <f t="shared" si="0"/>
        <v>2</v>
      </c>
      <c r="F5" s="239">
        <v>2.92</v>
      </c>
      <c r="G5" s="239">
        <f>F5*E5</f>
        <v>5.84</v>
      </c>
      <c r="H5" s="240">
        <f>G5/12</f>
        <v>0.49</v>
      </c>
    </row>
    <row r="6" spans="1:8" ht="15" customHeight="1" thickBot="1" x14ac:dyDescent="0.3">
      <c r="A6" s="243">
        <v>4</v>
      </c>
      <c r="B6" s="244" t="s">
        <v>281</v>
      </c>
      <c r="C6" s="245" t="s">
        <v>278</v>
      </c>
      <c r="D6" s="246">
        <v>1</v>
      </c>
      <c r="E6" s="245">
        <f t="shared" si="0"/>
        <v>2</v>
      </c>
      <c r="F6" s="247">
        <v>48</v>
      </c>
      <c r="G6" s="247">
        <f>F6*E6</f>
        <v>96</v>
      </c>
      <c r="H6" s="248">
        <f>G6/12</f>
        <v>8</v>
      </c>
    </row>
    <row r="7" spans="1:8" ht="15" customHeight="1" thickBot="1" x14ac:dyDescent="0.3">
      <c r="A7" s="513" t="s">
        <v>230</v>
      </c>
      <c r="B7" s="514"/>
      <c r="C7" s="514"/>
      <c r="D7" s="514"/>
      <c r="E7" s="514"/>
      <c r="F7" s="515"/>
      <c r="G7" s="515"/>
      <c r="H7" s="127">
        <f>SUM(H3:H6)</f>
        <v>36.61</v>
      </c>
    </row>
    <row r="8" spans="1:8" ht="15.75" thickBot="1" x14ac:dyDescent="0.3">
      <c r="A8" s="516" t="s">
        <v>246</v>
      </c>
      <c r="B8" s="352"/>
      <c r="C8" s="352"/>
      <c r="D8" s="352"/>
      <c r="E8" s="352"/>
      <c r="F8" s="352"/>
      <c r="G8" s="352"/>
      <c r="H8" s="353"/>
    </row>
    <row r="9" spans="1:8" x14ac:dyDescent="0.25">
      <c r="A9" s="517" t="s">
        <v>285</v>
      </c>
      <c r="B9" s="518"/>
      <c r="C9" s="518"/>
      <c r="D9" s="518"/>
      <c r="E9" s="518"/>
      <c r="F9" s="518"/>
      <c r="G9" s="518"/>
      <c r="H9" s="519"/>
    </row>
    <row r="10" spans="1:8" x14ac:dyDescent="0.25">
      <c r="A10" s="520"/>
      <c r="B10" s="521"/>
      <c r="C10" s="521"/>
      <c r="D10" s="521"/>
      <c r="E10" s="521"/>
      <c r="F10" s="521"/>
      <c r="G10" s="521"/>
      <c r="H10" s="522"/>
    </row>
    <row r="11" spans="1:8" x14ac:dyDescent="0.25">
      <c r="A11" s="520"/>
      <c r="B11" s="521"/>
      <c r="C11" s="521"/>
      <c r="D11" s="521"/>
      <c r="E11" s="521"/>
      <c r="F11" s="521"/>
      <c r="G11" s="521"/>
      <c r="H11" s="522"/>
    </row>
    <row r="12" spans="1:8" x14ac:dyDescent="0.25">
      <c r="A12" s="520"/>
      <c r="B12" s="521"/>
      <c r="C12" s="521"/>
      <c r="D12" s="521"/>
      <c r="E12" s="521"/>
      <c r="F12" s="521"/>
      <c r="G12" s="521"/>
      <c r="H12" s="522"/>
    </row>
    <row r="13" spans="1:8" x14ac:dyDescent="0.25">
      <c r="A13" s="520"/>
      <c r="B13" s="521"/>
      <c r="C13" s="521"/>
      <c r="D13" s="521"/>
      <c r="E13" s="521"/>
      <c r="F13" s="521"/>
      <c r="G13" s="521"/>
      <c r="H13" s="522"/>
    </row>
    <row r="14" spans="1:8" x14ac:dyDescent="0.25">
      <c r="A14" s="520"/>
      <c r="B14" s="521"/>
      <c r="C14" s="521"/>
      <c r="D14" s="521"/>
      <c r="E14" s="521"/>
      <c r="F14" s="521"/>
      <c r="G14" s="521"/>
      <c r="H14" s="522"/>
    </row>
    <row r="15" spans="1:8" x14ac:dyDescent="0.25">
      <c r="A15" s="520"/>
      <c r="B15" s="521"/>
      <c r="C15" s="521"/>
      <c r="D15" s="521"/>
      <c r="E15" s="521"/>
      <c r="F15" s="521"/>
      <c r="G15" s="521"/>
      <c r="H15" s="522"/>
    </row>
    <row r="16" spans="1:8" x14ac:dyDescent="0.25">
      <c r="A16" s="520"/>
      <c r="B16" s="521"/>
      <c r="C16" s="521"/>
      <c r="D16" s="521"/>
      <c r="E16" s="521"/>
      <c r="F16" s="521"/>
      <c r="G16" s="521"/>
      <c r="H16" s="522"/>
    </row>
    <row r="17" spans="1:8" x14ac:dyDescent="0.25">
      <c r="A17" s="520"/>
      <c r="B17" s="521"/>
      <c r="C17" s="521"/>
      <c r="D17" s="521"/>
      <c r="E17" s="521"/>
      <c r="F17" s="521"/>
      <c r="G17" s="521"/>
      <c r="H17" s="522"/>
    </row>
    <row r="18" spans="1:8" x14ac:dyDescent="0.25">
      <c r="A18" s="520"/>
      <c r="B18" s="521"/>
      <c r="C18" s="521"/>
      <c r="D18" s="521"/>
      <c r="E18" s="521"/>
      <c r="F18" s="521"/>
      <c r="G18" s="521"/>
      <c r="H18" s="522"/>
    </row>
    <row r="19" spans="1:8" x14ac:dyDescent="0.25">
      <c r="A19" s="520"/>
      <c r="B19" s="521"/>
      <c r="C19" s="521"/>
      <c r="D19" s="521"/>
      <c r="E19" s="521"/>
      <c r="F19" s="521"/>
      <c r="G19" s="521"/>
      <c r="H19" s="522"/>
    </row>
    <row r="20" spans="1:8" x14ac:dyDescent="0.25">
      <c r="A20" s="520"/>
      <c r="B20" s="521"/>
      <c r="C20" s="521"/>
      <c r="D20" s="521"/>
      <c r="E20" s="521"/>
      <c r="F20" s="521"/>
      <c r="G20" s="521"/>
      <c r="H20" s="522"/>
    </row>
    <row r="21" spans="1:8" x14ac:dyDescent="0.25">
      <c r="A21" s="520"/>
      <c r="B21" s="521"/>
      <c r="C21" s="521"/>
      <c r="D21" s="521"/>
      <c r="E21" s="521"/>
      <c r="F21" s="521"/>
      <c r="G21" s="521"/>
      <c r="H21" s="522"/>
    </row>
    <row r="22" spans="1:8" ht="15.75" thickBot="1" x14ac:dyDescent="0.3">
      <c r="A22" s="523"/>
      <c r="B22" s="524"/>
      <c r="C22" s="524"/>
      <c r="D22" s="524"/>
      <c r="E22" s="524"/>
      <c r="F22" s="524"/>
      <c r="G22" s="524"/>
      <c r="H22" s="525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zoomScaleNormal="100" zoomScaleSheetLayoutView="100" workbookViewId="0">
      <selection activeCell="L21" sqref="L21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541" t="s">
        <v>253</v>
      </c>
      <c r="B1" s="542"/>
      <c r="C1" s="542"/>
      <c r="D1" s="542"/>
      <c r="E1" s="542"/>
      <c r="F1" s="542"/>
      <c r="G1" s="542"/>
      <c r="H1" s="543"/>
    </row>
    <row r="2" spans="1:8" ht="15" customHeight="1" thickBot="1" x14ac:dyDescent="0.3">
      <c r="A2" s="544" t="s">
        <v>254</v>
      </c>
      <c r="B2" s="545"/>
      <c r="C2" s="545"/>
      <c r="D2" s="545"/>
      <c r="E2" s="545"/>
      <c r="F2" s="545"/>
      <c r="G2" s="545"/>
      <c r="H2" s="546"/>
    </row>
    <row r="3" spans="1:8" ht="30" customHeight="1" thickBot="1" x14ac:dyDescent="0.3">
      <c r="A3" s="322" t="s">
        <v>166</v>
      </c>
      <c r="B3" s="323" t="s">
        <v>255</v>
      </c>
      <c r="C3" s="323" t="s">
        <v>167</v>
      </c>
      <c r="D3" s="323" t="s">
        <v>307</v>
      </c>
      <c r="E3" s="323" t="s">
        <v>308</v>
      </c>
      <c r="F3" s="323" t="s">
        <v>169</v>
      </c>
      <c r="G3" s="323" t="s">
        <v>225</v>
      </c>
      <c r="H3" s="324" t="s">
        <v>172</v>
      </c>
    </row>
    <row r="4" spans="1:8" ht="249.95" customHeight="1" thickBot="1" x14ac:dyDescent="0.3">
      <c r="A4" s="325">
        <v>1</v>
      </c>
      <c r="B4" s="326" t="s">
        <v>282</v>
      </c>
      <c r="C4" s="327" t="s">
        <v>167</v>
      </c>
      <c r="D4" s="327">
        <v>1</v>
      </c>
      <c r="E4" s="328">
        <f>D4</f>
        <v>1</v>
      </c>
      <c r="F4" s="329">
        <f>(Equipamentos!F8*1%)</f>
        <v>3600</v>
      </c>
      <c r="G4" s="329">
        <f>F4*E4</f>
        <v>3600</v>
      </c>
      <c r="H4" s="330">
        <f>G4/12</f>
        <v>300</v>
      </c>
    </row>
    <row r="5" spans="1:8" ht="30" customHeight="1" thickBot="1" x14ac:dyDescent="0.3">
      <c r="A5" s="338" t="s">
        <v>166</v>
      </c>
      <c r="B5" s="339" t="s">
        <v>255</v>
      </c>
      <c r="C5" s="339" t="s">
        <v>167</v>
      </c>
      <c r="D5" s="339" t="s">
        <v>307</v>
      </c>
      <c r="E5" s="339" t="s">
        <v>308</v>
      </c>
      <c r="F5" s="339" t="s">
        <v>309</v>
      </c>
      <c r="G5" s="339" t="s">
        <v>225</v>
      </c>
      <c r="H5" s="340" t="s">
        <v>172</v>
      </c>
    </row>
    <row r="6" spans="1:8" ht="30" customHeight="1" x14ac:dyDescent="0.25">
      <c r="A6" s="333">
        <v>2</v>
      </c>
      <c r="B6" s="334" t="s">
        <v>310</v>
      </c>
      <c r="C6" s="335" t="s">
        <v>311</v>
      </c>
      <c r="D6" s="341">
        <v>3.5</v>
      </c>
      <c r="E6" s="341">
        <f>D6*12</f>
        <v>42</v>
      </c>
      <c r="F6" s="336">
        <v>27.66</v>
      </c>
      <c r="G6" s="336">
        <f>F6*E6</f>
        <v>1161.72</v>
      </c>
      <c r="H6" s="337">
        <f>G6/12</f>
        <v>96.81</v>
      </c>
    </row>
    <row r="7" spans="1:8" ht="30" customHeight="1" thickBot="1" x14ac:dyDescent="0.3">
      <c r="A7" s="342">
        <v>3</v>
      </c>
      <c r="B7" s="343" t="s">
        <v>312</v>
      </c>
      <c r="C7" s="344" t="s">
        <v>311</v>
      </c>
      <c r="D7" s="345">
        <v>3.5</v>
      </c>
      <c r="E7" s="345">
        <f>D7*12</f>
        <v>42</v>
      </c>
      <c r="F7" s="346">
        <v>34.79</v>
      </c>
      <c r="G7" s="346">
        <f>F7*E7</f>
        <v>1461.18</v>
      </c>
      <c r="H7" s="347">
        <f>G7/12</f>
        <v>121.77</v>
      </c>
    </row>
    <row r="8" spans="1:8" ht="15" customHeight="1" thickBot="1" x14ac:dyDescent="0.3">
      <c r="A8" s="541"/>
      <c r="B8" s="542"/>
      <c r="C8" s="542"/>
      <c r="D8" s="542"/>
      <c r="E8" s="542"/>
      <c r="F8" s="542"/>
      <c r="G8" s="543"/>
      <c r="H8" s="348">
        <f>SUM(H4:H7)</f>
        <v>518.58000000000004</v>
      </c>
    </row>
    <row r="9" spans="1:8" ht="15" customHeight="1" thickBot="1" x14ac:dyDescent="0.3">
      <c r="A9" s="547"/>
      <c r="B9" s="548"/>
      <c r="C9" s="548"/>
      <c r="D9" s="548"/>
      <c r="E9" s="548"/>
      <c r="F9" s="548"/>
      <c r="G9" s="548"/>
      <c r="H9" s="549"/>
    </row>
    <row r="10" spans="1:8" ht="15" customHeight="1" thickBot="1" x14ac:dyDescent="0.3">
      <c r="A10" s="544" t="s">
        <v>256</v>
      </c>
      <c r="B10" s="545"/>
      <c r="C10" s="545"/>
      <c r="D10" s="545"/>
      <c r="E10" s="545"/>
      <c r="F10" s="545"/>
      <c r="G10" s="545"/>
      <c r="H10" s="546"/>
    </row>
    <row r="11" spans="1:8" ht="30" customHeight="1" thickBot="1" x14ac:dyDescent="0.3">
      <c r="A11" s="322" t="s">
        <v>166</v>
      </c>
      <c r="B11" s="323" t="s">
        <v>255</v>
      </c>
      <c r="C11" s="323" t="s">
        <v>167</v>
      </c>
      <c r="D11" s="323" t="s">
        <v>307</v>
      </c>
      <c r="E11" s="323" t="s">
        <v>308</v>
      </c>
      <c r="F11" s="323" t="s">
        <v>169</v>
      </c>
      <c r="G11" s="323" t="s">
        <v>225</v>
      </c>
      <c r="H11" s="324" t="s">
        <v>172</v>
      </c>
    </row>
    <row r="12" spans="1:8" ht="350.1" customHeight="1" thickBot="1" x14ac:dyDescent="0.3">
      <c r="A12" s="331">
        <v>1</v>
      </c>
      <c r="B12" s="332" t="s">
        <v>283</v>
      </c>
      <c r="C12" s="327" t="s">
        <v>167</v>
      </c>
      <c r="D12" s="327">
        <v>1</v>
      </c>
      <c r="E12" s="328">
        <f>D12</f>
        <v>1</v>
      </c>
      <c r="F12" s="329">
        <f>(Equipamentos!F16*1%)</f>
        <v>3795</v>
      </c>
      <c r="G12" s="329">
        <f>F12*E12</f>
        <v>3795</v>
      </c>
      <c r="H12" s="330">
        <f>G12/12</f>
        <v>316.25</v>
      </c>
    </row>
    <row r="13" spans="1:8" ht="30" customHeight="1" thickBot="1" x14ac:dyDescent="0.3">
      <c r="A13" s="338" t="s">
        <v>166</v>
      </c>
      <c r="B13" s="339" t="s">
        <v>255</v>
      </c>
      <c r="C13" s="339" t="s">
        <v>167</v>
      </c>
      <c r="D13" s="339" t="s">
        <v>307</v>
      </c>
      <c r="E13" s="339" t="s">
        <v>308</v>
      </c>
      <c r="F13" s="339" t="s">
        <v>309</v>
      </c>
      <c r="G13" s="339" t="s">
        <v>225</v>
      </c>
      <c r="H13" s="340" t="s">
        <v>172</v>
      </c>
    </row>
    <row r="14" spans="1:8" ht="30" customHeight="1" x14ac:dyDescent="0.25">
      <c r="A14" s="333">
        <v>2</v>
      </c>
      <c r="B14" s="334" t="s">
        <v>310</v>
      </c>
      <c r="C14" s="335" t="s">
        <v>311</v>
      </c>
      <c r="D14" s="341">
        <v>3.5</v>
      </c>
      <c r="E14" s="341">
        <f>D14*12</f>
        <v>42</v>
      </c>
      <c r="F14" s="336">
        <v>27.66</v>
      </c>
      <c r="G14" s="336">
        <f>F14*E14</f>
        <v>1161.72</v>
      </c>
      <c r="H14" s="337">
        <f>G14/12</f>
        <v>96.81</v>
      </c>
    </row>
    <row r="15" spans="1:8" ht="30" customHeight="1" thickBot="1" x14ac:dyDescent="0.3">
      <c r="A15" s="342">
        <v>3</v>
      </c>
      <c r="B15" s="343" t="s">
        <v>312</v>
      </c>
      <c r="C15" s="344" t="s">
        <v>311</v>
      </c>
      <c r="D15" s="345">
        <v>3.5</v>
      </c>
      <c r="E15" s="345">
        <f>D15*12</f>
        <v>42</v>
      </c>
      <c r="F15" s="346">
        <v>34.79</v>
      </c>
      <c r="G15" s="346">
        <f>F15*E15</f>
        <v>1461.18</v>
      </c>
      <c r="H15" s="347">
        <f>G15/12</f>
        <v>121.77</v>
      </c>
    </row>
    <row r="16" spans="1:8" ht="15" customHeight="1" thickBot="1" x14ac:dyDescent="0.3">
      <c r="A16" s="544"/>
      <c r="B16" s="545"/>
      <c r="C16" s="545"/>
      <c r="D16" s="545"/>
      <c r="E16" s="545"/>
      <c r="F16" s="545"/>
      <c r="G16" s="546"/>
      <c r="H16" s="348">
        <f>SUM(H12:H15)</f>
        <v>534.83000000000004</v>
      </c>
    </row>
    <row r="17" spans="1:8" ht="15.75" thickBot="1" x14ac:dyDescent="0.3">
      <c r="A17" s="538"/>
      <c r="B17" s="539"/>
      <c r="C17" s="539"/>
      <c r="D17" s="539"/>
      <c r="E17" s="539"/>
      <c r="F17" s="539"/>
      <c r="G17" s="539"/>
      <c r="H17" s="540"/>
    </row>
    <row r="18" spans="1:8" ht="15.75" thickBot="1" x14ac:dyDescent="0.3">
      <c r="A18" s="535" t="s">
        <v>243</v>
      </c>
      <c r="B18" s="536"/>
      <c r="C18" s="536"/>
      <c r="D18" s="536"/>
      <c r="E18" s="536"/>
      <c r="F18" s="536"/>
      <c r="G18" s="537"/>
      <c r="H18" s="118">
        <f>H8/8</f>
        <v>64.819999999999993</v>
      </c>
    </row>
    <row r="19" spans="1:8" ht="15.75" thickBot="1" x14ac:dyDescent="0.3">
      <c r="A19" s="535" t="s">
        <v>241</v>
      </c>
      <c r="B19" s="536"/>
      <c r="C19" s="536"/>
      <c r="D19" s="536"/>
      <c r="E19" s="536"/>
      <c r="F19" s="536"/>
      <c r="G19" s="537"/>
      <c r="H19" s="118">
        <f>H16/12</f>
        <v>44.57</v>
      </c>
    </row>
    <row r="20" spans="1:8" ht="15.75" thickBot="1" x14ac:dyDescent="0.3">
      <c r="A20" s="535" t="s">
        <v>299</v>
      </c>
      <c r="B20" s="536"/>
      <c r="C20" s="536"/>
      <c r="D20" s="536"/>
      <c r="E20" s="536"/>
      <c r="F20" s="536"/>
      <c r="G20" s="537"/>
      <c r="H20" s="118">
        <f>H16/12</f>
        <v>44.57</v>
      </c>
    </row>
    <row r="21" spans="1:8" ht="15.75" thickBot="1" x14ac:dyDescent="0.3">
      <c r="A21" s="535" t="s">
        <v>242</v>
      </c>
      <c r="B21" s="536"/>
      <c r="C21" s="536"/>
      <c r="D21" s="536"/>
      <c r="E21" s="536"/>
      <c r="F21" s="536"/>
      <c r="G21" s="537"/>
      <c r="H21" s="118">
        <f>H8/4</f>
        <v>129.65</v>
      </c>
    </row>
    <row r="22" spans="1:8" ht="15.75" thickBot="1" x14ac:dyDescent="0.3">
      <c r="A22" s="535" t="s">
        <v>240</v>
      </c>
      <c r="B22" s="536"/>
      <c r="C22" s="536"/>
      <c r="D22" s="536"/>
      <c r="E22" s="536"/>
      <c r="F22" s="536"/>
      <c r="G22" s="537"/>
      <c r="H22" s="118">
        <f>H8/4</f>
        <v>129.65</v>
      </c>
    </row>
    <row r="23" spans="1:8" ht="15" customHeight="1" thickBot="1" x14ac:dyDescent="0.3">
      <c r="A23" s="526" t="s">
        <v>246</v>
      </c>
      <c r="B23" s="527"/>
      <c r="C23" s="527"/>
      <c r="D23" s="527"/>
      <c r="E23" s="527"/>
      <c r="F23" s="527"/>
      <c r="G23" s="527"/>
      <c r="H23" s="528"/>
    </row>
    <row r="24" spans="1:8" x14ac:dyDescent="0.25">
      <c r="A24" s="529" t="s">
        <v>302</v>
      </c>
      <c r="B24" s="530"/>
      <c r="C24" s="530"/>
      <c r="D24" s="530"/>
      <c r="E24" s="530"/>
      <c r="F24" s="530"/>
      <c r="G24" s="530"/>
      <c r="H24" s="531"/>
    </row>
    <row r="25" spans="1:8" x14ac:dyDescent="0.25">
      <c r="A25" s="529"/>
      <c r="B25" s="530"/>
      <c r="C25" s="530"/>
      <c r="D25" s="530"/>
      <c r="E25" s="530"/>
      <c r="F25" s="530"/>
      <c r="G25" s="530"/>
      <c r="H25" s="531"/>
    </row>
    <row r="26" spans="1:8" x14ac:dyDescent="0.25">
      <c r="A26" s="529"/>
      <c r="B26" s="530"/>
      <c r="C26" s="530"/>
      <c r="D26" s="530"/>
      <c r="E26" s="530"/>
      <c r="F26" s="530"/>
      <c r="G26" s="530"/>
      <c r="H26" s="531"/>
    </row>
    <row r="27" spans="1:8" x14ac:dyDescent="0.25">
      <c r="A27" s="529"/>
      <c r="B27" s="530"/>
      <c r="C27" s="530"/>
      <c r="D27" s="530"/>
      <c r="E27" s="530"/>
      <c r="F27" s="530"/>
      <c r="G27" s="530"/>
      <c r="H27" s="531"/>
    </row>
    <row r="28" spans="1:8" x14ac:dyDescent="0.25">
      <c r="A28" s="529"/>
      <c r="B28" s="530"/>
      <c r="C28" s="530"/>
      <c r="D28" s="530"/>
      <c r="E28" s="530"/>
      <c r="F28" s="530"/>
      <c r="G28" s="530"/>
      <c r="H28" s="531"/>
    </row>
    <row r="29" spans="1:8" ht="15.75" thickBot="1" x14ac:dyDescent="0.3">
      <c r="A29" s="532"/>
      <c r="B29" s="533"/>
      <c r="C29" s="533"/>
      <c r="D29" s="533"/>
      <c r="E29" s="533"/>
      <c r="F29" s="533"/>
      <c r="G29" s="533"/>
      <c r="H29" s="534"/>
    </row>
    <row r="30" spans="1:8" x14ac:dyDescent="0.25">
      <c r="A30" s="214"/>
      <c r="B30" s="214"/>
      <c r="C30" s="214"/>
      <c r="D30" s="214"/>
      <c r="E30" s="214"/>
      <c r="F30" s="214"/>
      <c r="G30" s="214"/>
      <c r="H30" s="214"/>
    </row>
    <row r="31" spans="1:8" x14ac:dyDescent="0.25">
      <c r="A31" s="214"/>
      <c r="B31" s="214"/>
      <c r="C31" s="214"/>
      <c r="D31" s="214"/>
      <c r="E31" s="214"/>
      <c r="F31" s="214"/>
      <c r="G31" s="214"/>
      <c r="H31" s="214"/>
    </row>
  </sheetData>
  <mergeCells count="14">
    <mergeCell ref="A17:H17"/>
    <mergeCell ref="A1:H1"/>
    <mergeCell ref="A2:H2"/>
    <mergeCell ref="A8:G8"/>
    <mergeCell ref="A9:H9"/>
    <mergeCell ref="A10:H10"/>
    <mergeCell ref="A16:G16"/>
    <mergeCell ref="A23:H23"/>
    <mergeCell ref="A24:H29"/>
    <mergeCell ref="A18:G18"/>
    <mergeCell ref="A22:G22"/>
    <mergeCell ref="A20:G20"/>
    <mergeCell ref="A21:G21"/>
    <mergeCell ref="A19:G19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>
    <pageSetUpPr fitToPage="1"/>
  </sheetPr>
  <dimension ref="A1:H36"/>
  <sheetViews>
    <sheetView view="pageBreakPreview" topLeftCell="A13" zoomScaleNormal="100" zoomScaleSheetLayoutView="100" workbookViewId="0">
      <selection activeCell="L21" sqref="L21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541" t="s">
        <v>170</v>
      </c>
      <c r="B1" s="542"/>
      <c r="C1" s="542"/>
      <c r="D1" s="542"/>
      <c r="E1" s="542"/>
      <c r="F1" s="542"/>
      <c r="G1" s="542"/>
      <c r="H1" s="543"/>
    </row>
    <row r="2" spans="1:8" ht="15" customHeight="1" thickBot="1" x14ac:dyDescent="0.3">
      <c r="A2" s="552" t="s">
        <v>252</v>
      </c>
      <c r="B2" s="553"/>
      <c r="C2" s="553"/>
      <c r="D2" s="553"/>
      <c r="E2" s="553"/>
      <c r="F2" s="553"/>
      <c r="G2" s="553"/>
      <c r="H2" s="554"/>
    </row>
    <row r="3" spans="1:8" ht="15" customHeight="1" x14ac:dyDescent="0.25">
      <c r="A3" s="201" t="s">
        <v>166</v>
      </c>
      <c r="B3" s="202" t="s">
        <v>247</v>
      </c>
      <c r="C3" s="202" t="s">
        <v>167</v>
      </c>
      <c r="D3" s="202" t="s">
        <v>168</v>
      </c>
      <c r="E3" s="202" t="s">
        <v>171</v>
      </c>
      <c r="F3" s="202" t="s">
        <v>169</v>
      </c>
      <c r="G3" s="202" t="s">
        <v>225</v>
      </c>
      <c r="H3" s="203" t="s">
        <v>172</v>
      </c>
    </row>
    <row r="4" spans="1:8" ht="45" customHeight="1" x14ac:dyDescent="0.25">
      <c r="A4" s="125">
        <v>1</v>
      </c>
      <c r="B4" s="126" t="s">
        <v>248</v>
      </c>
      <c r="C4" s="103">
        <v>1</v>
      </c>
      <c r="D4" s="119">
        <v>12</v>
      </c>
      <c r="E4" s="103">
        <v>12</v>
      </c>
      <c r="F4" s="123">
        <f>F8*5%</f>
        <v>18000</v>
      </c>
      <c r="G4" s="123">
        <f>F4*C4</f>
        <v>18000</v>
      </c>
      <c r="H4" s="124">
        <f>G4/12</f>
        <v>1500</v>
      </c>
    </row>
    <row r="5" spans="1:8" ht="15" customHeight="1" x14ac:dyDescent="0.25">
      <c r="A5" s="122"/>
      <c r="B5" s="120" t="s">
        <v>249</v>
      </c>
      <c r="C5" s="120"/>
      <c r="D5" s="120"/>
      <c r="E5" s="120"/>
      <c r="F5" s="204"/>
      <c r="G5" s="204"/>
      <c r="H5" s="205"/>
    </row>
    <row r="6" spans="1:8" ht="140.1" customHeight="1" x14ac:dyDescent="0.25">
      <c r="A6" s="125">
        <v>1</v>
      </c>
      <c r="B6" s="206" t="s">
        <v>250</v>
      </c>
      <c r="C6" s="103">
        <v>1</v>
      </c>
      <c r="D6" s="119">
        <v>12</v>
      </c>
      <c r="E6" s="103">
        <v>12</v>
      </c>
      <c r="F6" s="123">
        <f>F8*10%</f>
        <v>36000</v>
      </c>
      <c r="G6" s="123">
        <f>F6*C6</f>
        <v>36000</v>
      </c>
      <c r="H6" s="124">
        <f>G6/12</f>
        <v>3000</v>
      </c>
    </row>
    <row r="7" spans="1:8" ht="15" customHeight="1" x14ac:dyDescent="0.25">
      <c r="A7" s="122" t="s">
        <v>166</v>
      </c>
      <c r="B7" s="121" t="s">
        <v>187</v>
      </c>
      <c r="C7" s="120" t="s">
        <v>167</v>
      </c>
      <c r="D7" s="120" t="s">
        <v>168</v>
      </c>
      <c r="E7" s="120" t="s">
        <v>171</v>
      </c>
      <c r="F7" s="204" t="s">
        <v>169</v>
      </c>
      <c r="G7" s="204" t="s">
        <v>225</v>
      </c>
      <c r="H7" s="205" t="s">
        <v>172</v>
      </c>
    </row>
    <row r="8" spans="1:8" ht="15" customHeight="1" thickBot="1" x14ac:dyDescent="0.3">
      <c r="A8" s="207">
        <v>1</v>
      </c>
      <c r="B8" s="208" t="s">
        <v>188</v>
      </c>
      <c r="C8" s="209" t="s">
        <v>167</v>
      </c>
      <c r="D8" s="210">
        <v>1</v>
      </c>
      <c r="E8" s="209">
        <v>60</v>
      </c>
      <c r="F8" s="211">
        <v>360000</v>
      </c>
      <c r="G8" s="212">
        <f>F8*D8</f>
        <v>360000</v>
      </c>
      <c r="H8" s="213">
        <f>(G8/E8)</f>
        <v>6000</v>
      </c>
    </row>
    <row r="9" spans="1:8" ht="15" customHeight="1" thickBot="1" x14ac:dyDescent="0.3">
      <c r="A9" s="198"/>
      <c r="B9" s="199"/>
      <c r="C9" s="199"/>
      <c r="D9" s="199"/>
      <c r="E9" s="199"/>
      <c r="F9" s="199"/>
      <c r="G9" s="199"/>
      <c r="H9" s="200"/>
    </row>
    <row r="10" spans="1:8" ht="15" customHeight="1" thickBot="1" x14ac:dyDescent="0.3">
      <c r="A10" s="555" t="s">
        <v>251</v>
      </c>
      <c r="B10" s="556"/>
      <c r="C10" s="556"/>
      <c r="D10" s="556"/>
      <c r="E10" s="556"/>
      <c r="F10" s="556"/>
      <c r="G10" s="556"/>
      <c r="H10" s="557"/>
    </row>
    <row r="11" spans="1:8" ht="15" customHeight="1" x14ac:dyDescent="0.25">
      <c r="A11" s="201" t="s">
        <v>166</v>
      </c>
      <c r="B11" s="202" t="s">
        <v>247</v>
      </c>
      <c r="C11" s="202" t="s">
        <v>167</v>
      </c>
      <c r="D11" s="202" t="s">
        <v>168</v>
      </c>
      <c r="E11" s="202" t="s">
        <v>171</v>
      </c>
      <c r="F11" s="202" t="s">
        <v>169</v>
      </c>
      <c r="G11" s="202" t="s">
        <v>225</v>
      </c>
      <c r="H11" s="203" t="s">
        <v>172</v>
      </c>
    </row>
    <row r="12" spans="1:8" ht="45" customHeight="1" x14ac:dyDescent="0.25">
      <c r="A12" s="125">
        <v>1</v>
      </c>
      <c r="B12" s="126" t="s">
        <v>248</v>
      </c>
      <c r="C12" s="103">
        <v>1</v>
      </c>
      <c r="D12" s="119">
        <v>12</v>
      </c>
      <c r="E12" s="103">
        <v>12</v>
      </c>
      <c r="F12" s="123">
        <f>F16*5%</f>
        <v>18975</v>
      </c>
      <c r="G12" s="123">
        <f>F12*C12</f>
        <v>18975</v>
      </c>
      <c r="H12" s="124">
        <f>G12/12</f>
        <v>1581.25</v>
      </c>
    </row>
    <row r="13" spans="1:8" ht="15" customHeight="1" x14ac:dyDescent="0.25">
      <c r="A13" s="122"/>
      <c r="B13" s="120" t="s">
        <v>249</v>
      </c>
      <c r="C13" s="120"/>
      <c r="D13" s="120"/>
      <c r="E13" s="120"/>
      <c r="F13" s="204"/>
      <c r="G13" s="204"/>
      <c r="H13" s="205"/>
    </row>
    <row r="14" spans="1:8" ht="140.1" customHeight="1" x14ac:dyDescent="0.25">
      <c r="A14" s="125">
        <v>1</v>
      </c>
      <c r="B14" s="206" t="s">
        <v>250</v>
      </c>
      <c r="C14" s="103">
        <v>1</v>
      </c>
      <c r="D14" s="119">
        <v>12</v>
      </c>
      <c r="E14" s="103">
        <v>12</v>
      </c>
      <c r="F14" s="123">
        <f>F16*10%</f>
        <v>37950</v>
      </c>
      <c r="G14" s="123">
        <f>F14*C14</f>
        <v>37950</v>
      </c>
      <c r="H14" s="124">
        <f>G14/12</f>
        <v>3162.5</v>
      </c>
    </row>
    <row r="15" spans="1:8" ht="15" customHeight="1" x14ac:dyDescent="0.25">
      <c r="A15" s="122" t="s">
        <v>166</v>
      </c>
      <c r="B15" s="121" t="s">
        <v>187</v>
      </c>
      <c r="C15" s="120" t="s">
        <v>167</v>
      </c>
      <c r="D15" s="120" t="s">
        <v>168</v>
      </c>
      <c r="E15" s="120" t="s">
        <v>171</v>
      </c>
      <c r="F15" s="204" t="s">
        <v>169</v>
      </c>
      <c r="G15" s="204" t="s">
        <v>225</v>
      </c>
      <c r="H15" s="205" t="s">
        <v>172</v>
      </c>
    </row>
    <row r="16" spans="1:8" ht="15" customHeight="1" thickBot="1" x14ac:dyDescent="0.3">
      <c r="A16" s="207">
        <v>1</v>
      </c>
      <c r="B16" s="208" t="s">
        <v>239</v>
      </c>
      <c r="C16" s="209" t="s">
        <v>167</v>
      </c>
      <c r="D16" s="210">
        <v>1</v>
      </c>
      <c r="E16" s="209">
        <v>60</v>
      </c>
      <c r="F16" s="211">
        <v>379500</v>
      </c>
      <c r="G16" s="212">
        <f>F16*D16</f>
        <v>379500</v>
      </c>
      <c r="H16" s="213">
        <f>(G16/E16)</f>
        <v>6325</v>
      </c>
    </row>
    <row r="17" spans="1:8" ht="15" customHeight="1" thickBot="1" x14ac:dyDescent="0.3">
      <c r="A17" s="198"/>
      <c r="B17" s="199"/>
      <c r="C17" s="199"/>
      <c r="D17" s="199"/>
      <c r="E17" s="199"/>
      <c r="F17" s="199"/>
      <c r="G17" s="199"/>
      <c r="H17" s="200"/>
    </row>
    <row r="18" spans="1:8" ht="15" customHeight="1" thickBot="1" x14ac:dyDescent="0.3">
      <c r="A18" s="535" t="s">
        <v>243</v>
      </c>
      <c r="B18" s="536"/>
      <c r="C18" s="536"/>
      <c r="D18" s="536"/>
      <c r="E18" s="536"/>
      <c r="F18" s="536"/>
      <c r="G18" s="537"/>
      <c r="H18" s="118">
        <f>SUM(H4:H8)/8</f>
        <v>1312.5</v>
      </c>
    </row>
    <row r="19" spans="1:8" ht="15" customHeight="1" thickBot="1" x14ac:dyDescent="0.3">
      <c r="A19" s="535" t="s">
        <v>241</v>
      </c>
      <c r="B19" s="536"/>
      <c r="C19" s="536"/>
      <c r="D19" s="536"/>
      <c r="E19" s="536"/>
      <c r="F19" s="536"/>
      <c r="G19" s="537"/>
      <c r="H19" s="118">
        <f>SUM(H12:H16)/12</f>
        <v>922.4</v>
      </c>
    </row>
    <row r="20" spans="1:8" ht="15" customHeight="1" thickBot="1" x14ac:dyDescent="0.3">
      <c r="A20" s="535" t="s">
        <v>299</v>
      </c>
      <c r="B20" s="536"/>
      <c r="C20" s="536"/>
      <c r="D20" s="536"/>
      <c r="E20" s="536"/>
      <c r="F20" s="536"/>
      <c r="G20" s="537"/>
      <c r="H20" s="118">
        <f>SUM(H12:H16)/12</f>
        <v>922.4</v>
      </c>
    </row>
    <row r="21" spans="1:8" ht="15" customHeight="1" thickBot="1" x14ac:dyDescent="0.3">
      <c r="A21" s="535" t="s">
        <v>242</v>
      </c>
      <c r="B21" s="536"/>
      <c r="C21" s="536"/>
      <c r="D21" s="536"/>
      <c r="E21" s="536"/>
      <c r="F21" s="536"/>
      <c r="G21" s="537"/>
      <c r="H21" s="118">
        <f>SUM(H4:H8)/4</f>
        <v>2625</v>
      </c>
    </row>
    <row r="22" spans="1:8" ht="15" customHeight="1" thickBot="1" x14ac:dyDescent="0.3">
      <c r="A22" s="535" t="s">
        <v>240</v>
      </c>
      <c r="B22" s="536"/>
      <c r="C22" s="536"/>
      <c r="D22" s="536"/>
      <c r="E22" s="536"/>
      <c r="F22" s="536"/>
      <c r="G22" s="537"/>
      <c r="H22" s="118">
        <f>SUM(H4:H8)/4</f>
        <v>2625</v>
      </c>
    </row>
    <row r="23" spans="1:8" ht="15.75" thickBot="1" x14ac:dyDescent="0.3">
      <c r="A23" s="526" t="s">
        <v>246</v>
      </c>
      <c r="B23" s="550"/>
      <c r="C23" s="550"/>
      <c r="D23" s="550"/>
      <c r="E23" s="550"/>
      <c r="F23" s="550"/>
      <c r="G23" s="550"/>
      <c r="H23" s="551"/>
    </row>
    <row r="24" spans="1:8" x14ac:dyDescent="0.25">
      <c r="A24" s="517" t="s">
        <v>303</v>
      </c>
      <c r="B24" s="518"/>
      <c r="C24" s="518"/>
      <c r="D24" s="518"/>
      <c r="E24" s="518"/>
      <c r="F24" s="518"/>
      <c r="G24" s="518"/>
      <c r="H24" s="519"/>
    </row>
    <row r="25" spans="1:8" x14ac:dyDescent="0.25">
      <c r="A25" s="520"/>
      <c r="B25" s="521"/>
      <c r="C25" s="521"/>
      <c r="D25" s="521"/>
      <c r="E25" s="521"/>
      <c r="F25" s="521"/>
      <c r="G25" s="521"/>
      <c r="H25" s="522"/>
    </row>
    <row r="26" spans="1:8" x14ac:dyDescent="0.25">
      <c r="A26" s="520"/>
      <c r="B26" s="521"/>
      <c r="C26" s="521"/>
      <c r="D26" s="521"/>
      <c r="E26" s="521"/>
      <c r="F26" s="521"/>
      <c r="G26" s="521"/>
      <c r="H26" s="522"/>
    </row>
    <row r="27" spans="1:8" x14ac:dyDescent="0.25">
      <c r="A27" s="520"/>
      <c r="B27" s="521"/>
      <c r="C27" s="521"/>
      <c r="D27" s="521"/>
      <c r="E27" s="521"/>
      <c r="F27" s="521"/>
      <c r="G27" s="521"/>
      <c r="H27" s="522"/>
    </row>
    <row r="28" spans="1:8" x14ac:dyDescent="0.25">
      <c r="A28" s="520"/>
      <c r="B28" s="521"/>
      <c r="C28" s="521"/>
      <c r="D28" s="521"/>
      <c r="E28" s="521"/>
      <c r="F28" s="521"/>
      <c r="G28" s="521"/>
      <c r="H28" s="522"/>
    </row>
    <row r="29" spans="1:8" x14ac:dyDescent="0.25">
      <c r="A29" s="520"/>
      <c r="B29" s="521"/>
      <c r="C29" s="521"/>
      <c r="D29" s="521"/>
      <c r="E29" s="521"/>
      <c r="F29" s="521"/>
      <c r="G29" s="521"/>
      <c r="H29" s="522"/>
    </row>
    <row r="30" spans="1:8" x14ac:dyDescent="0.25">
      <c r="A30" s="520"/>
      <c r="B30" s="521"/>
      <c r="C30" s="521"/>
      <c r="D30" s="521"/>
      <c r="E30" s="521"/>
      <c r="F30" s="521"/>
      <c r="G30" s="521"/>
      <c r="H30" s="522"/>
    </row>
    <row r="31" spans="1:8" x14ac:dyDescent="0.25">
      <c r="A31" s="520"/>
      <c r="B31" s="521"/>
      <c r="C31" s="521"/>
      <c r="D31" s="521"/>
      <c r="E31" s="521"/>
      <c r="F31" s="521"/>
      <c r="G31" s="521"/>
      <c r="H31" s="522"/>
    </row>
    <row r="32" spans="1:8" x14ac:dyDescent="0.25">
      <c r="A32" s="520"/>
      <c r="B32" s="521"/>
      <c r="C32" s="521"/>
      <c r="D32" s="521"/>
      <c r="E32" s="521"/>
      <c r="F32" s="521"/>
      <c r="G32" s="521"/>
      <c r="H32" s="522"/>
    </row>
    <row r="33" spans="1:8" x14ac:dyDescent="0.25">
      <c r="A33" s="520"/>
      <c r="B33" s="521"/>
      <c r="C33" s="521"/>
      <c r="D33" s="521"/>
      <c r="E33" s="521"/>
      <c r="F33" s="521"/>
      <c r="G33" s="521"/>
      <c r="H33" s="522"/>
    </row>
    <row r="34" spans="1:8" x14ac:dyDescent="0.25">
      <c r="A34" s="520"/>
      <c r="B34" s="521"/>
      <c r="C34" s="521"/>
      <c r="D34" s="521"/>
      <c r="E34" s="521"/>
      <c r="F34" s="521"/>
      <c r="G34" s="521"/>
      <c r="H34" s="522"/>
    </row>
    <row r="35" spans="1:8" x14ac:dyDescent="0.25">
      <c r="A35" s="520"/>
      <c r="B35" s="521"/>
      <c r="C35" s="521"/>
      <c r="D35" s="521"/>
      <c r="E35" s="521"/>
      <c r="F35" s="521"/>
      <c r="G35" s="521"/>
      <c r="H35" s="522"/>
    </row>
    <row r="36" spans="1:8" ht="15.75" thickBot="1" x14ac:dyDescent="0.3">
      <c r="A36" s="523"/>
      <c r="B36" s="524"/>
      <c r="C36" s="524"/>
      <c r="D36" s="524"/>
      <c r="E36" s="524"/>
      <c r="F36" s="524"/>
      <c r="G36" s="524"/>
      <c r="H36" s="525"/>
    </row>
  </sheetData>
  <mergeCells count="10">
    <mergeCell ref="A24:H36"/>
    <mergeCell ref="A23:H23"/>
    <mergeCell ref="A21:G21"/>
    <mergeCell ref="A1:H1"/>
    <mergeCell ref="A2:H2"/>
    <mergeCell ref="A18:G18"/>
    <mergeCell ref="A20:G20"/>
    <mergeCell ref="A22:G22"/>
    <mergeCell ref="A19:G19"/>
    <mergeCell ref="A10:H10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57" t="s">
        <v>95</v>
      </c>
      <c r="B1" s="357"/>
    </row>
    <row r="2" spans="1:2" ht="19.5" thickBot="1" x14ac:dyDescent="0.35">
      <c r="A2" s="21" t="s">
        <v>96</v>
      </c>
      <c r="B2" s="21" t="s">
        <v>97</v>
      </c>
    </row>
    <row r="3" spans="1:2" ht="19.5" thickBot="1" x14ac:dyDescent="0.35">
      <c r="A3" s="22" t="s">
        <v>98</v>
      </c>
      <c r="B3" s="23" t="s">
        <v>99</v>
      </c>
    </row>
    <row r="4" spans="1:2" ht="57" thickBot="1" x14ac:dyDescent="0.35">
      <c r="A4" s="24" t="s">
        <v>100</v>
      </c>
      <c r="B4" s="25" t="s">
        <v>101</v>
      </c>
    </row>
    <row r="5" spans="1:2" ht="19.5" thickBot="1" x14ac:dyDescent="0.35">
      <c r="A5" s="24" t="s">
        <v>102</v>
      </c>
      <c r="B5" s="25" t="s">
        <v>103</v>
      </c>
    </row>
    <row r="6" spans="1:2" ht="94.5" thickBot="1" x14ac:dyDescent="0.35">
      <c r="A6" s="24" t="s">
        <v>104</v>
      </c>
      <c r="B6" s="25" t="s">
        <v>105</v>
      </c>
    </row>
    <row r="7" spans="1:2" ht="38.25" thickBot="1" x14ac:dyDescent="0.35">
      <c r="A7" s="24" t="s">
        <v>106</v>
      </c>
      <c r="B7" s="25" t="s">
        <v>107</v>
      </c>
    </row>
    <row r="8" spans="1:2" ht="19.5" thickBot="1" x14ac:dyDescent="0.35">
      <c r="A8" s="24" t="s">
        <v>108</v>
      </c>
      <c r="B8" s="25" t="s">
        <v>109</v>
      </c>
    </row>
    <row r="9" spans="1:2" ht="38.25" thickBot="1" x14ac:dyDescent="0.35">
      <c r="A9" s="24" t="s">
        <v>110</v>
      </c>
      <c r="B9" s="25" t="s">
        <v>111</v>
      </c>
    </row>
    <row r="10" spans="1:2" ht="57" thickBot="1" x14ac:dyDescent="0.35">
      <c r="A10" s="24" t="s">
        <v>112</v>
      </c>
      <c r="B10" s="25" t="s">
        <v>113</v>
      </c>
    </row>
    <row r="11" spans="1:2" ht="75.75" thickBot="1" x14ac:dyDescent="0.35">
      <c r="A11" s="24" t="s">
        <v>114</v>
      </c>
      <c r="B11" s="25" t="s">
        <v>115</v>
      </c>
    </row>
    <row r="12" spans="1:2" ht="57" thickBot="1" x14ac:dyDescent="0.35">
      <c r="A12" s="24" t="s">
        <v>112</v>
      </c>
      <c r="B12" s="25" t="s">
        <v>116</v>
      </c>
    </row>
    <row r="13" spans="1:2" ht="38.25" thickBot="1" x14ac:dyDescent="0.35">
      <c r="A13" s="24" t="s">
        <v>112</v>
      </c>
      <c r="B13" s="25" t="s">
        <v>117</v>
      </c>
    </row>
    <row r="14" spans="1:2" ht="57" thickBot="1" x14ac:dyDescent="0.35">
      <c r="A14" s="24" t="s">
        <v>112</v>
      </c>
      <c r="B14" s="25" t="s">
        <v>118</v>
      </c>
    </row>
    <row r="15" spans="1:2" ht="19.5" thickBot="1" x14ac:dyDescent="0.35">
      <c r="A15" s="24" t="s">
        <v>112</v>
      </c>
      <c r="B15" s="25" t="s">
        <v>119</v>
      </c>
    </row>
    <row r="16" spans="1:2" ht="38.25" thickBot="1" x14ac:dyDescent="0.35">
      <c r="A16" s="24" t="s">
        <v>120</v>
      </c>
      <c r="B16" s="25" t="s">
        <v>121</v>
      </c>
    </row>
    <row r="17" spans="1:2" ht="38.25" thickBot="1" x14ac:dyDescent="0.35">
      <c r="A17" s="24" t="s">
        <v>122</v>
      </c>
      <c r="B17" s="25" t="s">
        <v>123</v>
      </c>
    </row>
    <row r="18" spans="1:2" ht="38.25" thickBot="1" x14ac:dyDescent="0.35">
      <c r="A18" s="24" t="s">
        <v>112</v>
      </c>
      <c r="B18" s="25" t="s">
        <v>124</v>
      </c>
    </row>
    <row r="19" spans="1:2" ht="57" thickBot="1" x14ac:dyDescent="0.35">
      <c r="A19" s="24" t="s">
        <v>112</v>
      </c>
      <c r="B19" s="25" t="s">
        <v>125</v>
      </c>
    </row>
    <row r="20" spans="1:2" ht="38.25" thickBot="1" x14ac:dyDescent="0.35">
      <c r="A20" s="24" t="s">
        <v>112</v>
      </c>
      <c r="B20" s="25" t="s">
        <v>126</v>
      </c>
    </row>
    <row r="21" spans="1:2" ht="57" thickBot="1" x14ac:dyDescent="0.35">
      <c r="A21" s="24" t="s">
        <v>112</v>
      </c>
      <c r="B21" s="25" t="s">
        <v>127</v>
      </c>
    </row>
    <row r="22" spans="1:2" x14ac:dyDescent="0.3">
      <c r="A22" s="26" t="s">
        <v>112</v>
      </c>
      <c r="B22" s="27" t="s">
        <v>128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P88"/>
  <sheetViews>
    <sheetView tabSelected="1" view="pageBreakPreview" zoomScale="80" zoomScaleNormal="80" zoomScaleSheetLayoutView="80" workbookViewId="0">
      <selection activeCell="L21" sqref="L21"/>
    </sheetView>
  </sheetViews>
  <sheetFormatPr defaultRowHeight="12.75" x14ac:dyDescent="0.25"/>
  <cols>
    <col min="1" max="1" width="10.7109375" style="154" customWidth="1"/>
    <col min="2" max="2" width="60.7109375" style="154" customWidth="1"/>
    <col min="3" max="8" width="20.7109375" style="154" customWidth="1"/>
    <col min="9" max="16384" width="9.140625" style="154"/>
  </cols>
  <sheetData>
    <row r="1" spans="1:8" ht="30" customHeight="1" x14ac:dyDescent="0.25">
      <c r="A1" s="369" t="s">
        <v>262</v>
      </c>
      <c r="B1" s="370"/>
      <c r="C1" s="370"/>
      <c r="D1" s="370"/>
      <c r="E1" s="370"/>
      <c r="F1" s="370"/>
      <c r="G1" s="370"/>
      <c r="H1" s="371"/>
    </row>
    <row r="2" spans="1:8" ht="45" customHeight="1" x14ac:dyDescent="0.25">
      <c r="A2" s="218" t="s">
        <v>257</v>
      </c>
      <c r="B2" s="313" t="s">
        <v>258</v>
      </c>
      <c r="C2" s="257" t="s">
        <v>286</v>
      </c>
      <c r="D2" s="219" t="s">
        <v>259</v>
      </c>
      <c r="E2" s="219" t="s">
        <v>260</v>
      </c>
      <c r="F2" s="313" t="s">
        <v>261</v>
      </c>
      <c r="G2" s="313" t="s">
        <v>287</v>
      </c>
      <c r="H2" s="117" t="s">
        <v>288</v>
      </c>
    </row>
    <row r="3" spans="1:8" ht="150" customHeight="1" x14ac:dyDescent="0.25">
      <c r="A3" s="225">
        <v>1</v>
      </c>
      <c r="B3" s="277" t="s">
        <v>294</v>
      </c>
      <c r="C3" s="222" t="s">
        <v>289</v>
      </c>
      <c r="D3" s="222" t="s">
        <v>298</v>
      </c>
      <c r="E3" s="221">
        <v>2</v>
      </c>
      <c r="F3" s="223">
        <f>('Motorista - Diurno'!D112+'Motorista - Noturno'!D113+'Técnico de Enfermagem - Diurno'!D113+'Técnico de Enfermagem - Noturno'!D113)*2</f>
        <v>90869.14</v>
      </c>
      <c r="G3" s="224">
        <f>F3*E3</f>
        <v>181738.28</v>
      </c>
      <c r="H3" s="226">
        <f>G3*12</f>
        <v>2180859.36</v>
      </c>
    </row>
    <row r="4" spans="1:8" ht="150" customHeight="1" x14ac:dyDescent="0.25">
      <c r="A4" s="225">
        <v>2</v>
      </c>
      <c r="B4" s="315" t="s">
        <v>297</v>
      </c>
      <c r="C4" s="222" t="s">
        <v>292</v>
      </c>
      <c r="D4" s="222" t="s">
        <v>298</v>
      </c>
      <c r="E4" s="221">
        <v>3</v>
      </c>
      <c r="F4" s="223">
        <f>('Motorista - Diurno'!H112+'Técnico de Enfermagem - Diurno'!F113)*2</f>
        <v>50583.28</v>
      </c>
      <c r="G4" s="223">
        <f>F4*E4</f>
        <v>151749.84</v>
      </c>
      <c r="H4" s="226">
        <f>G4*12</f>
        <v>1820998.08</v>
      </c>
    </row>
    <row r="5" spans="1:8" ht="150" customHeight="1" x14ac:dyDescent="0.25">
      <c r="A5" s="225">
        <v>3</v>
      </c>
      <c r="B5" s="278" t="s">
        <v>295</v>
      </c>
      <c r="C5" s="222" t="s">
        <v>290</v>
      </c>
      <c r="D5" s="222" t="s">
        <v>298</v>
      </c>
      <c r="E5" s="221">
        <v>2</v>
      </c>
      <c r="F5" s="223">
        <f>('Motorista - Diurno'!E112+'Motorista - Noturno'!E113+'Enfermeiro - Diurno'!D112+'Enfermeiro - Noturno'!D112+'Médico - Diurno '!D112+'Médico - Noturno'!D112)*2</f>
        <v>281369.06</v>
      </c>
      <c r="G5" s="223">
        <f>F5*E5</f>
        <v>562738.12</v>
      </c>
      <c r="H5" s="226">
        <f>G5*12</f>
        <v>6752857.4400000004</v>
      </c>
    </row>
    <row r="6" spans="1:8" ht="150" customHeight="1" x14ac:dyDescent="0.25">
      <c r="A6" s="225">
        <v>4</v>
      </c>
      <c r="B6" s="278" t="s">
        <v>293</v>
      </c>
      <c r="C6" s="222" t="s">
        <v>289</v>
      </c>
      <c r="D6" s="222" t="s">
        <v>298</v>
      </c>
      <c r="E6" s="221">
        <v>1</v>
      </c>
      <c r="F6" s="223">
        <f>('Motorista - Diurno'!F112+'Motorista - Noturno'!F113+'Enfermeiro - Diurno'!E112+'Enfermeiro - Noturno'!E112+'Médico - Diurno '!E112+'Médico - Noturno'!E112)*2</f>
        <v>281369.06</v>
      </c>
      <c r="G6" s="223">
        <f>F6*E6</f>
        <v>281369.06</v>
      </c>
      <c r="H6" s="226">
        <f>G6*12</f>
        <v>3376428.72</v>
      </c>
    </row>
    <row r="7" spans="1:8" ht="150" customHeight="1" thickBot="1" x14ac:dyDescent="0.3">
      <c r="A7" s="316">
        <v>5</v>
      </c>
      <c r="B7" s="317" t="s">
        <v>296</v>
      </c>
      <c r="C7" s="318" t="s">
        <v>291</v>
      </c>
      <c r="D7" s="318" t="s">
        <v>298</v>
      </c>
      <c r="E7" s="319">
        <v>1</v>
      </c>
      <c r="F7" s="320">
        <f>('Motorista - Diurno'!G112+'Técnico de Enfermagem - Diurno'!E113)*2</f>
        <v>50583.28</v>
      </c>
      <c r="G7" s="320">
        <f>F7*E7</f>
        <v>50583.28</v>
      </c>
      <c r="H7" s="280">
        <f>G7*12</f>
        <v>606999.36</v>
      </c>
    </row>
    <row r="8" spans="1:8" ht="15" customHeight="1" thickBot="1" x14ac:dyDescent="0.3">
      <c r="A8" s="372" t="s">
        <v>264</v>
      </c>
      <c r="B8" s="373"/>
      <c r="C8" s="373"/>
      <c r="D8" s="373"/>
      <c r="E8" s="373"/>
      <c r="F8" s="373"/>
      <c r="G8" s="374"/>
      <c r="H8" s="279">
        <f>SUM(H3:H7)</f>
        <v>14738142.960000001</v>
      </c>
    </row>
    <row r="9" spans="1:8" ht="13.5" thickBot="1" x14ac:dyDescent="0.3">
      <c r="A9" s="382"/>
      <c r="B9" s="383"/>
      <c r="C9" s="383"/>
      <c r="D9" s="383"/>
      <c r="E9" s="383"/>
      <c r="F9" s="383"/>
      <c r="G9" s="383"/>
      <c r="H9" s="384"/>
    </row>
    <row r="10" spans="1:8" ht="20.100000000000001" customHeight="1" x14ac:dyDescent="0.25">
      <c r="A10" s="375" t="s">
        <v>262</v>
      </c>
      <c r="B10" s="376"/>
      <c r="C10" s="376"/>
      <c r="D10" s="376"/>
      <c r="E10" s="376"/>
      <c r="F10" s="376"/>
      <c r="G10" s="376"/>
      <c r="H10" s="377"/>
    </row>
    <row r="11" spans="1:8" ht="45" x14ac:dyDescent="0.25">
      <c r="A11" s="378" t="s">
        <v>175</v>
      </c>
      <c r="B11" s="379"/>
      <c r="C11" s="313" t="s">
        <v>176</v>
      </c>
      <c r="D11" s="313" t="s">
        <v>177</v>
      </c>
      <c r="E11" s="313" t="s">
        <v>178</v>
      </c>
      <c r="F11" s="313" t="s">
        <v>179</v>
      </c>
      <c r="G11" s="313" t="s">
        <v>180</v>
      </c>
      <c r="H11" s="117" t="s">
        <v>181</v>
      </c>
    </row>
    <row r="12" spans="1:8" ht="15" customHeight="1" thickBot="1" x14ac:dyDescent="0.3">
      <c r="A12" s="380" t="s">
        <v>182</v>
      </c>
      <c r="B12" s="381"/>
      <c r="C12" s="258" t="s">
        <v>183</v>
      </c>
      <c r="D12" s="258" t="s">
        <v>184</v>
      </c>
      <c r="E12" s="314" t="s">
        <v>227</v>
      </c>
      <c r="F12" s="314" t="s">
        <v>228</v>
      </c>
      <c r="G12" s="259" t="s">
        <v>185</v>
      </c>
      <c r="H12" s="260" t="s">
        <v>226</v>
      </c>
    </row>
    <row r="13" spans="1:8" ht="15" customHeight="1" thickBot="1" x14ac:dyDescent="0.3">
      <c r="A13" s="364" t="s">
        <v>238</v>
      </c>
      <c r="B13" s="365"/>
      <c r="C13" s="365"/>
      <c r="D13" s="365"/>
      <c r="E13" s="365"/>
      <c r="F13" s="365"/>
      <c r="G13" s="365"/>
      <c r="H13" s="366"/>
    </row>
    <row r="14" spans="1:8" ht="15" customHeight="1" x14ac:dyDescent="0.25">
      <c r="A14" s="363">
        <v>1</v>
      </c>
      <c r="B14" s="261" t="s">
        <v>300</v>
      </c>
      <c r="C14" s="262">
        <f>'Motorista - Diurno'!D112</f>
        <v>11186.1</v>
      </c>
      <c r="D14" s="263">
        <v>2</v>
      </c>
      <c r="E14" s="264">
        <v>2</v>
      </c>
      <c r="F14" s="265">
        <f>C14*D14</f>
        <v>22372.2</v>
      </c>
      <c r="G14" s="265">
        <f>F14*E14</f>
        <v>44744.4</v>
      </c>
      <c r="H14" s="266">
        <f>G14*12</f>
        <v>536932.80000000005</v>
      </c>
    </row>
    <row r="15" spans="1:8" ht="15" customHeight="1" x14ac:dyDescent="0.25">
      <c r="A15" s="363"/>
      <c r="B15" s="155" t="s">
        <v>301</v>
      </c>
      <c r="C15" s="146">
        <f>'Motorista - Noturno'!D113</f>
        <v>12135.71</v>
      </c>
      <c r="D15" s="145">
        <v>2</v>
      </c>
      <c r="E15" s="148">
        <v>2</v>
      </c>
      <c r="F15" s="147">
        <f>C15*D15</f>
        <v>24271.42</v>
      </c>
      <c r="G15" s="147">
        <f>F15*E15</f>
        <v>48542.84</v>
      </c>
      <c r="H15" s="149">
        <f>G15*12</f>
        <v>582514.07999999996</v>
      </c>
    </row>
    <row r="16" spans="1:8" ht="15" customHeight="1" x14ac:dyDescent="0.25">
      <c r="A16" s="363"/>
      <c r="B16" s="155" t="s">
        <v>237</v>
      </c>
      <c r="C16" s="146">
        <f>'Técnico de Enfermagem - Diurno'!D113</f>
        <v>10572.06</v>
      </c>
      <c r="D16" s="145">
        <v>2</v>
      </c>
      <c r="E16" s="148">
        <v>2</v>
      </c>
      <c r="F16" s="147">
        <f>C16*D16</f>
        <v>21144.12</v>
      </c>
      <c r="G16" s="147">
        <f>F16*E16</f>
        <v>42288.24</v>
      </c>
      <c r="H16" s="149">
        <f>G16*12</f>
        <v>507458.88</v>
      </c>
    </row>
    <row r="17" spans="1:8" ht="15" customHeight="1" thickBot="1" x14ac:dyDescent="0.3">
      <c r="A17" s="363"/>
      <c r="B17" s="267" t="s">
        <v>245</v>
      </c>
      <c r="C17" s="268">
        <f>'Técnico de Enfermagem - Noturno'!D113</f>
        <v>11540.7</v>
      </c>
      <c r="D17" s="269">
        <v>2</v>
      </c>
      <c r="E17" s="270">
        <v>2</v>
      </c>
      <c r="F17" s="271">
        <f>C17*D17</f>
        <v>23081.4</v>
      </c>
      <c r="G17" s="271">
        <f>F17*E17</f>
        <v>46162.8</v>
      </c>
      <c r="H17" s="272">
        <f>G17*12</f>
        <v>553953.6</v>
      </c>
    </row>
    <row r="18" spans="1:8" ht="15" customHeight="1" thickBot="1" x14ac:dyDescent="0.3">
      <c r="A18" s="364" t="s">
        <v>238</v>
      </c>
      <c r="B18" s="365"/>
      <c r="C18" s="365"/>
      <c r="D18" s="365"/>
      <c r="E18" s="365"/>
      <c r="F18" s="365"/>
      <c r="G18" s="365"/>
      <c r="H18" s="366"/>
    </row>
    <row r="19" spans="1:8" ht="15" customHeight="1" x14ac:dyDescent="0.25">
      <c r="A19" s="363">
        <v>2</v>
      </c>
      <c r="B19" s="261" t="s">
        <v>300</v>
      </c>
      <c r="C19" s="262">
        <f>'Motorista - Diurno'!H112</f>
        <v>12952.84</v>
      </c>
      <c r="D19" s="263">
        <v>2</v>
      </c>
      <c r="E19" s="264">
        <v>3</v>
      </c>
      <c r="F19" s="265">
        <f>C19*D19</f>
        <v>25905.68</v>
      </c>
      <c r="G19" s="265">
        <f>F19*E19</f>
        <v>77717.039999999994</v>
      </c>
      <c r="H19" s="266">
        <f>G19*12</f>
        <v>932604.48</v>
      </c>
    </row>
    <row r="20" spans="1:8" ht="15" customHeight="1" thickBot="1" x14ac:dyDescent="0.3">
      <c r="A20" s="361"/>
      <c r="B20" s="155" t="s">
        <v>237</v>
      </c>
      <c r="C20" s="146">
        <f>'Técnico de Enfermagem - Diurno'!F113</f>
        <v>12338.8</v>
      </c>
      <c r="D20" s="145">
        <v>2</v>
      </c>
      <c r="E20" s="148">
        <v>3</v>
      </c>
      <c r="F20" s="147">
        <f>C20*D20</f>
        <v>24677.599999999999</v>
      </c>
      <c r="G20" s="147">
        <f>F20*E20</f>
        <v>74032.800000000003</v>
      </c>
      <c r="H20" s="149">
        <f>G20*12</f>
        <v>888393.6</v>
      </c>
    </row>
    <row r="21" spans="1:8" ht="15" customHeight="1" thickBot="1" x14ac:dyDescent="0.3">
      <c r="A21" s="364" t="s">
        <v>234</v>
      </c>
      <c r="B21" s="365"/>
      <c r="C21" s="365"/>
      <c r="D21" s="365"/>
      <c r="E21" s="365"/>
      <c r="F21" s="365"/>
      <c r="G21" s="365"/>
      <c r="H21" s="366"/>
    </row>
    <row r="22" spans="1:8" ht="15" customHeight="1" x14ac:dyDescent="0.25">
      <c r="A22" s="367">
        <v>3</v>
      </c>
      <c r="B22" s="261" t="s">
        <v>300</v>
      </c>
      <c r="C22" s="262">
        <f>'Motorista - Diurno'!E112</f>
        <v>11841.55</v>
      </c>
      <c r="D22" s="263">
        <v>2</v>
      </c>
      <c r="E22" s="264">
        <v>2</v>
      </c>
      <c r="F22" s="265">
        <f t="shared" ref="F22:F34" si="0">C22*D22</f>
        <v>23683.1</v>
      </c>
      <c r="G22" s="265">
        <f t="shared" ref="G22:G27" si="1">F22*E22</f>
        <v>47366.2</v>
      </c>
      <c r="H22" s="266">
        <f t="shared" ref="H22:H27" si="2">G22*12</f>
        <v>568394.4</v>
      </c>
    </row>
    <row r="23" spans="1:8" ht="15" customHeight="1" x14ac:dyDescent="0.25">
      <c r="A23" s="363"/>
      <c r="B23" s="155" t="s">
        <v>301</v>
      </c>
      <c r="C23" s="146">
        <f>'Motorista - Noturno'!E113</f>
        <v>12921.73</v>
      </c>
      <c r="D23" s="145">
        <v>2</v>
      </c>
      <c r="E23" s="148">
        <v>2</v>
      </c>
      <c r="F23" s="147">
        <f t="shared" si="0"/>
        <v>25843.46</v>
      </c>
      <c r="G23" s="147">
        <f t="shared" si="1"/>
        <v>51686.92</v>
      </c>
      <c r="H23" s="149">
        <f t="shared" si="2"/>
        <v>620243.04</v>
      </c>
    </row>
    <row r="24" spans="1:8" ht="15" customHeight="1" x14ac:dyDescent="0.25">
      <c r="A24" s="363"/>
      <c r="B24" s="194" t="s">
        <v>231</v>
      </c>
      <c r="C24" s="195">
        <f>'Enfermeiro - Diurno'!D112</f>
        <v>13253.74</v>
      </c>
      <c r="D24" s="145">
        <v>2</v>
      </c>
      <c r="E24" s="148">
        <v>2</v>
      </c>
      <c r="F24" s="147">
        <f t="shared" si="0"/>
        <v>26507.48</v>
      </c>
      <c r="G24" s="147">
        <f t="shared" si="1"/>
        <v>53014.96</v>
      </c>
      <c r="H24" s="149">
        <f t="shared" si="2"/>
        <v>636179.52</v>
      </c>
    </row>
    <row r="25" spans="1:8" ht="15" customHeight="1" x14ac:dyDescent="0.25">
      <c r="A25" s="363"/>
      <c r="B25" s="194" t="s">
        <v>235</v>
      </c>
      <c r="C25" s="195">
        <f>'Enfermeiro - Noturno'!D112</f>
        <v>14577.29</v>
      </c>
      <c r="D25" s="145">
        <v>2</v>
      </c>
      <c r="E25" s="148">
        <v>2</v>
      </c>
      <c r="F25" s="147">
        <f t="shared" si="0"/>
        <v>29154.58</v>
      </c>
      <c r="G25" s="147">
        <f t="shared" si="1"/>
        <v>58309.16</v>
      </c>
      <c r="H25" s="149">
        <f t="shared" si="2"/>
        <v>699709.92</v>
      </c>
    </row>
    <row r="26" spans="1:8" ht="15" customHeight="1" x14ac:dyDescent="0.25">
      <c r="A26" s="363"/>
      <c r="B26" s="196" t="s">
        <v>232</v>
      </c>
      <c r="C26" s="195">
        <f>'Médico - Diurno '!D112</f>
        <v>41804.239999999998</v>
      </c>
      <c r="D26" s="145">
        <v>2</v>
      </c>
      <c r="E26" s="148">
        <v>2</v>
      </c>
      <c r="F26" s="147">
        <f t="shared" si="0"/>
        <v>83608.479999999996</v>
      </c>
      <c r="G26" s="147">
        <f t="shared" si="1"/>
        <v>167216.95999999999</v>
      </c>
      <c r="H26" s="149">
        <f t="shared" si="2"/>
        <v>2006603.52</v>
      </c>
    </row>
    <row r="27" spans="1:8" ht="15" customHeight="1" thickBot="1" x14ac:dyDescent="0.3">
      <c r="A27" s="368"/>
      <c r="B27" s="273" t="s">
        <v>236</v>
      </c>
      <c r="C27" s="274">
        <f>'Médico - Noturno'!D112</f>
        <v>46285.98</v>
      </c>
      <c r="D27" s="269">
        <v>2</v>
      </c>
      <c r="E27" s="270">
        <v>2</v>
      </c>
      <c r="F27" s="271">
        <f>C27*D27</f>
        <v>92571.96</v>
      </c>
      <c r="G27" s="271">
        <f t="shared" si="1"/>
        <v>185143.92</v>
      </c>
      <c r="H27" s="272">
        <f t="shared" si="2"/>
        <v>2221727.04</v>
      </c>
    </row>
    <row r="28" spans="1:8" ht="15" customHeight="1" thickBot="1" x14ac:dyDescent="0.3">
      <c r="A28" s="364" t="s">
        <v>234</v>
      </c>
      <c r="B28" s="365"/>
      <c r="C28" s="365"/>
      <c r="D28" s="365"/>
      <c r="E28" s="365"/>
      <c r="F28" s="365"/>
      <c r="G28" s="365"/>
      <c r="H28" s="366"/>
    </row>
    <row r="29" spans="1:8" ht="15" customHeight="1" x14ac:dyDescent="0.25">
      <c r="A29" s="367">
        <v>4</v>
      </c>
      <c r="B29" s="261" t="s">
        <v>300</v>
      </c>
      <c r="C29" s="262">
        <f>'Motorista - Diurno'!F112</f>
        <v>11841.55</v>
      </c>
      <c r="D29" s="263">
        <v>2</v>
      </c>
      <c r="E29" s="264">
        <v>1</v>
      </c>
      <c r="F29" s="265">
        <f t="shared" si="0"/>
        <v>23683.1</v>
      </c>
      <c r="G29" s="265">
        <f t="shared" ref="G29:G34" si="3">F29*E29</f>
        <v>23683.1</v>
      </c>
      <c r="H29" s="266">
        <f t="shared" ref="H29:H34" si="4">G29*12</f>
        <v>284197.2</v>
      </c>
    </row>
    <row r="30" spans="1:8" ht="15" customHeight="1" x14ac:dyDescent="0.25">
      <c r="A30" s="363"/>
      <c r="B30" s="155" t="s">
        <v>301</v>
      </c>
      <c r="C30" s="146">
        <f>'Motorista - Noturno'!F113</f>
        <v>12921.73</v>
      </c>
      <c r="D30" s="145">
        <v>2</v>
      </c>
      <c r="E30" s="148">
        <v>1</v>
      </c>
      <c r="F30" s="147">
        <f t="shared" si="0"/>
        <v>25843.46</v>
      </c>
      <c r="G30" s="147">
        <f t="shared" si="3"/>
        <v>25843.46</v>
      </c>
      <c r="H30" s="149">
        <f t="shared" si="4"/>
        <v>310121.52</v>
      </c>
    </row>
    <row r="31" spans="1:8" ht="15" customHeight="1" x14ac:dyDescent="0.25">
      <c r="A31" s="363"/>
      <c r="B31" s="194" t="s">
        <v>231</v>
      </c>
      <c r="C31" s="197">
        <f>'Enfermeiro - Diurno'!E112</f>
        <v>13253.74</v>
      </c>
      <c r="D31" s="145">
        <v>2</v>
      </c>
      <c r="E31" s="148">
        <v>1</v>
      </c>
      <c r="F31" s="147">
        <f t="shared" si="0"/>
        <v>26507.48</v>
      </c>
      <c r="G31" s="147">
        <f t="shared" si="3"/>
        <v>26507.48</v>
      </c>
      <c r="H31" s="149">
        <f t="shared" si="4"/>
        <v>318089.76</v>
      </c>
    </row>
    <row r="32" spans="1:8" ht="15" customHeight="1" x14ac:dyDescent="0.25">
      <c r="A32" s="363"/>
      <c r="B32" s="194" t="s">
        <v>235</v>
      </c>
      <c r="C32" s="197">
        <f>'Enfermeiro - Noturno'!E112</f>
        <v>14577.29</v>
      </c>
      <c r="D32" s="145">
        <v>2</v>
      </c>
      <c r="E32" s="148">
        <v>1</v>
      </c>
      <c r="F32" s="147">
        <f t="shared" si="0"/>
        <v>29154.58</v>
      </c>
      <c r="G32" s="147">
        <f t="shared" si="3"/>
        <v>29154.58</v>
      </c>
      <c r="H32" s="149">
        <f t="shared" si="4"/>
        <v>349854.96</v>
      </c>
    </row>
    <row r="33" spans="1:8" ht="15" customHeight="1" x14ac:dyDescent="0.25">
      <c r="A33" s="363"/>
      <c r="B33" s="196" t="s">
        <v>232</v>
      </c>
      <c r="C33" s="197">
        <f>'Médico - Diurno '!E112</f>
        <v>41804.239999999998</v>
      </c>
      <c r="D33" s="145">
        <v>2</v>
      </c>
      <c r="E33" s="148">
        <v>1</v>
      </c>
      <c r="F33" s="147">
        <f t="shared" si="0"/>
        <v>83608.479999999996</v>
      </c>
      <c r="G33" s="147">
        <f t="shared" si="3"/>
        <v>83608.479999999996</v>
      </c>
      <c r="H33" s="149">
        <f t="shared" si="4"/>
        <v>1003301.76</v>
      </c>
    </row>
    <row r="34" spans="1:8" ht="15" customHeight="1" thickBot="1" x14ac:dyDescent="0.3">
      <c r="A34" s="368"/>
      <c r="B34" s="273" t="s">
        <v>236</v>
      </c>
      <c r="C34" s="275">
        <f>'Médico - Noturno'!E112</f>
        <v>46285.98</v>
      </c>
      <c r="D34" s="269">
        <v>2</v>
      </c>
      <c r="E34" s="270">
        <v>1</v>
      </c>
      <c r="F34" s="271">
        <f t="shared" si="0"/>
        <v>92571.96</v>
      </c>
      <c r="G34" s="271">
        <f t="shared" si="3"/>
        <v>92571.96</v>
      </c>
      <c r="H34" s="272">
        <f t="shared" si="4"/>
        <v>1110863.52</v>
      </c>
    </row>
    <row r="35" spans="1:8" ht="15" customHeight="1" thickBot="1" x14ac:dyDescent="0.3">
      <c r="A35" s="364" t="s">
        <v>238</v>
      </c>
      <c r="B35" s="365"/>
      <c r="C35" s="365"/>
      <c r="D35" s="365"/>
      <c r="E35" s="365"/>
      <c r="F35" s="365"/>
      <c r="G35" s="365"/>
      <c r="H35" s="366"/>
    </row>
    <row r="36" spans="1:8" ht="15" customHeight="1" x14ac:dyDescent="0.25">
      <c r="A36" s="361">
        <v>5</v>
      </c>
      <c r="B36" s="261" t="s">
        <v>300</v>
      </c>
      <c r="C36" s="262">
        <f>'Motorista - Diurno'!G112</f>
        <v>12952.84</v>
      </c>
      <c r="D36" s="263">
        <v>2</v>
      </c>
      <c r="E36" s="264">
        <v>1</v>
      </c>
      <c r="F36" s="265">
        <f>C36*D36</f>
        <v>25905.68</v>
      </c>
      <c r="G36" s="265">
        <f>F36*E36</f>
        <v>25905.68</v>
      </c>
      <c r="H36" s="266">
        <f>G36*12</f>
        <v>310868.15999999997</v>
      </c>
    </row>
    <row r="37" spans="1:8" ht="15" customHeight="1" thickBot="1" x14ac:dyDescent="0.3">
      <c r="A37" s="362"/>
      <c r="B37" s="276" t="s">
        <v>237</v>
      </c>
      <c r="C37" s="268">
        <f>'Técnico de Enfermagem - Diurno'!E113</f>
        <v>12338.8</v>
      </c>
      <c r="D37" s="269">
        <v>2</v>
      </c>
      <c r="E37" s="270">
        <v>1</v>
      </c>
      <c r="F37" s="271">
        <f>C37*D37</f>
        <v>24677.599999999999</v>
      </c>
      <c r="G37" s="271">
        <f>F37*E37</f>
        <v>24677.599999999999</v>
      </c>
      <c r="H37" s="272">
        <f>G37*12</f>
        <v>296131.20000000001</v>
      </c>
    </row>
    <row r="38" spans="1:8" ht="15.75" customHeight="1" thickBot="1" x14ac:dyDescent="0.3">
      <c r="A38" s="358" t="s">
        <v>264</v>
      </c>
      <c r="B38" s="359"/>
      <c r="C38" s="359"/>
      <c r="D38" s="359"/>
      <c r="E38" s="359"/>
      <c r="F38" s="359"/>
      <c r="G38" s="360"/>
      <c r="H38" s="321">
        <f>SUM(H14:H37)</f>
        <v>14738142.960000001</v>
      </c>
    </row>
    <row r="39" spans="1:8" x14ac:dyDescent="0.25">
      <c r="A39" s="220"/>
      <c r="B39" s="220"/>
      <c r="C39" s="220"/>
      <c r="D39" s="220"/>
      <c r="E39" s="220"/>
      <c r="F39" s="220"/>
      <c r="G39" s="220"/>
      <c r="H39" s="220"/>
    </row>
    <row r="40" spans="1:8" x14ac:dyDescent="0.25">
      <c r="A40" s="220"/>
    </row>
    <row r="41" spans="1:8" x14ac:dyDescent="0.25">
      <c r="A41" s="220"/>
    </row>
    <row r="42" spans="1:8" x14ac:dyDescent="0.25">
      <c r="A42" s="220"/>
    </row>
    <row r="43" spans="1:8" x14ac:dyDescent="0.25">
      <c r="A43" s="220"/>
    </row>
    <row r="44" spans="1:8" x14ac:dyDescent="0.25">
      <c r="A44" s="220"/>
      <c r="B44" s="220"/>
      <c r="C44" s="220"/>
      <c r="D44" s="220"/>
      <c r="E44" s="220"/>
      <c r="F44" s="220"/>
      <c r="G44" s="220"/>
      <c r="H44" s="220"/>
    </row>
    <row r="45" spans="1:8" x14ac:dyDescent="0.25">
      <c r="A45" s="220"/>
      <c r="B45" s="220"/>
      <c r="C45" s="220"/>
      <c r="D45" s="220"/>
      <c r="E45" s="220"/>
      <c r="F45" s="220"/>
      <c r="G45" s="220"/>
      <c r="H45" s="220"/>
    </row>
    <row r="46" spans="1:8" x14ac:dyDescent="0.25">
      <c r="A46" s="220"/>
      <c r="B46" s="220"/>
      <c r="C46" s="220"/>
      <c r="D46" s="220"/>
      <c r="E46" s="220"/>
      <c r="F46" s="220"/>
      <c r="G46" s="220"/>
      <c r="H46" s="220"/>
    </row>
    <row r="47" spans="1:8" x14ac:dyDescent="0.25">
      <c r="A47" s="220"/>
      <c r="B47" s="220"/>
      <c r="C47" s="220"/>
      <c r="D47" s="220"/>
      <c r="E47" s="220"/>
      <c r="F47" s="220"/>
      <c r="G47" s="220"/>
      <c r="H47" s="220"/>
    </row>
    <row r="48" spans="1:8" x14ac:dyDescent="0.25">
      <c r="A48" s="220"/>
      <c r="B48" s="220"/>
      <c r="C48" s="220"/>
      <c r="D48" s="220"/>
      <c r="E48" s="220"/>
      <c r="F48" s="220"/>
      <c r="G48" s="220"/>
      <c r="H48" s="220"/>
    </row>
    <row r="49" spans="1:8" x14ac:dyDescent="0.25">
      <c r="A49" s="220"/>
      <c r="B49" s="220"/>
      <c r="C49" s="220"/>
      <c r="D49" s="220"/>
      <c r="E49" s="220"/>
      <c r="F49" s="220"/>
      <c r="G49" s="220"/>
      <c r="H49" s="220"/>
    </row>
    <row r="50" spans="1:8" x14ac:dyDescent="0.25">
      <c r="A50" s="220"/>
      <c r="B50" s="220"/>
      <c r="C50" s="220"/>
      <c r="D50" s="220"/>
      <c r="E50" s="220"/>
      <c r="F50" s="220"/>
      <c r="G50" s="220"/>
      <c r="H50" s="220"/>
    </row>
    <row r="51" spans="1:8" x14ac:dyDescent="0.25">
      <c r="A51" s="220"/>
      <c r="B51" s="220"/>
      <c r="C51" s="220"/>
      <c r="D51" s="220"/>
      <c r="E51" s="220"/>
      <c r="F51" s="220"/>
      <c r="G51" s="220"/>
      <c r="H51" s="220"/>
    </row>
    <row r="52" spans="1:8" x14ac:dyDescent="0.25">
      <c r="A52" s="220"/>
      <c r="B52" s="220"/>
      <c r="C52" s="220"/>
      <c r="D52" s="220"/>
      <c r="E52" s="220"/>
      <c r="F52" s="220"/>
      <c r="G52" s="220"/>
      <c r="H52" s="220"/>
    </row>
    <row r="53" spans="1:8" x14ac:dyDescent="0.25">
      <c r="A53" s="220"/>
      <c r="B53" s="220"/>
      <c r="C53" s="220"/>
      <c r="D53" s="220"/>
      <c r="E53" s="220"/>
      <c r="F53" s="220"/>
      <c r="G53" s="220"/>
      <c r="H53" s="220"/>
    </row>
    <row r="54" spans="1:8" x14ac:dyDescent="0.25">
      <c r="A54" s="220"/>
      <c r="B54" s="220"/>
      <c r="C54" s="220"/>
      <c r="D54" s="220"/>
      <c r="E54" s="220"/>
      <c r="F54" s="220"/>
      <c r="G54" s="220"/>
      <c r="H54" s="220"/>
    </row>
    <row r="55" spans="1:8" x14ac:dyDescent="0.25">
      <c r="A55" s="220"/>
      <c r="B55" s="220"/>
      <c r="C55" s="220"/>
      <c r="D55" s="220"/>
      <c r="E55" s="220"/>
      <c r="F55" s="220"/>
      <c r="G55" s="220"/>
      <c r="H55" s="220"/>
    </row>
    <row r="56" spans="1:8" x14ac:dyDescent="0.25">
      <c r="A56" s="220"/>
      <c r="B56" s="220"/>
      <c r="C56" s="220"/>
      <c r="D56" s="220"/>
      <c r="E56" s="220"/>
      <c r="F56" s="220"/>
      <c r="G56" s="220"/>
      <c r="H56" s="220"/>
    </row>
    <row r="57" spans="1:8" x14ac:dyDescent="0.25">
      <c r="A57" s="220"/>
      <c r="B57" s="220"/>
      <c r="C57" s="220"/>
      <c r="D57" s="220"/>
      <c r="E57" s="220"/>
      <c r="F57" s="220"/>
      <c r="G57" s="220"/>
      <c r="H57" s="220"/>
    </row>
    <row r="58" spans="1:8" x14ac:dyDescent="0.25">
      <c r="A58" s="220"/>
      <c r="B58" s="220"/>
      <c r="C58" s="220"/>
      <c r="D58" s="220"/>
      <c r="E58" s="220"/>
      <c r="F58" s="220"/>
      <c r="G58" s="220"/>
      <c r="H58" s="220"/>
    </row>
    <row r="59" spans="1:8" x14ac:dyDescent="0.25">
      <c r="A59" s="220"/>
      <c r="B59" s="220"/>
      <c r="C59" s="220"/>
      <c r="D59" s="220"/>
      <c r="E59" s="220"/>
      <c r="F59" s="220"/>
      <c r="G59" s="220"/>
      <c r="H59" s="220"/>
    </row>
    <row r="60" spans="1:8" x14ac:dyDescent="0.25">
      <c r="A60" s="220"/>
      <c r="B60" s="220"/>
      <c r="C60" s="220"/>
      <c r="D60" s="220"/>
      <c r="E60" s="220"/>
      <c r="F60" s="220"/>
      <c r="G60" s="220"/>
      <c r="H60" s="220"/>
    </row>
    <row r="61" spans="1:8" x14ac:dyDescent="0.25">
      <c r="A61" s="220"/>
      <c r="B61" s="220"/>
      <c r="C61" s="220"/>
      <c r="D61" s="220"/>
      <c r="E61" s="220"/>
      <c r="F61" s="220"/>
      <c r="G61" s="220"/>
      <c r="H61" s="220"/>
    </row>
    <row r="62" spans="1:8" x14ac:dyDescent="0.25">
      <c r="A62" s="220"/>
      <c r="B62" s="220"/>
      <c r="C62" s="220"/>
      <c r="D62" s="220"/>
      <c r="E62" s="220"/>
      <c r="F62" s="220"/>
      <c r="G62" s="220"/>
      <c r="H62" s="220"/>
    </row>
    <row r="63" spans="1:8" x14ac:dyDescent="0.25">
      <c r="A63" s="220"/>
      <c r="B63" s="220"/>
      <c r="C63" s="220"/>
      <c r="D63" s="220"/>
      <c r="E63" s="220"/>
      <c r="F63" s="220"/>
      <c r="G63" s="220"/>
      <c r="H63" s="220"/>
    </row>
    <row r="64" spans="1:8" x14ac:dyDescent="0.25">
      <c r="A64" s="220"/>
      <c r="B64" s="220"/>
      <c r="C64" s="220"/>
      <c r="D64" s="220"/>
      <c r="E64" s="220"/>
      <c r="F64" s="220"/>
      <c r="G64" s="220"/>
      <c r="H64" s="220"/>
    </row>
    <row r="65" spans="1:8" x14ac:dyDescent="0.25">
      <c r="A65" s="220"/>
      <c r="B65" s="220"/>
      <c r="C65" s="220"/>
      <c r="D65" s="220"/>
      <c r="E65" s="220"/>
      <c r="F65" s="220"/>
      <c r="G65" s="220"/>
      <c r="H65" s="220"/>
    </row>
    <row r="66" spans="1:8" x14ac:dyDescent="0.25">
      <c r="A66" s="220"/>
      <c r="B66" s="220"/>
      <c r="C66" s="220"/>
      <c r="D66" s="220"/>
      <c r="E66" s="220"/>
      <c r="F66" s="220"/>
      <c r="G66" s="220"/>
      <c r="H66" s="220"/>
    </row>
    <row r="67" spans="1:8" x14ac:dyDescent="0.25">
      <c r="A67" s="220"/>
      <c r="B67" s="220"/>
      <c r="C67" s="220"/>
      <c r="D67" s="220"/>
      <c r="E67" s="220"/>
      <c r="F67" s="220"/>
      <c r="G67" s="220"/>
      <c r="H67" s="220"/>
    </row>
    <row r="68" spans="1:8" x14ac:dyDescent="0.25">
      <c r="A68" s="220"/>
      <c r="B68" s="220"/>
      <c r="C68" s="220"/>
      <c r="D68" s="220"/>
      <c r="E68" s="220"/>
      <c r="F68" s="220"/>
      <c r="G68" s="220"/>
      <c r="H68" s="220"/>
    </row>
    <row r="69" spans="1:8" x14ac:dyDescent="0.25">
      <c r="A69" s="220"/>
      <c r="B69" s="220"/>
      <c r="C69" s="220"/>
      <c r="D69" s="220"/>
      <c r="E69" s="220"/>
      <c r="F69" s="220"/>
      <c r="G69" s="220"/>
      <c r="H69" s="220"/>
    </row>
    <row r="70" spans="1:8" x14ac:dyDescent="0.25">
      <c r="A70" s="220"/>
      <c r="B70" s="220"/>
      <c r="C70" s="220"/>
      <c r="D70" s="220"/>
      <c r="E70" s="220"/>
      <c r="F70" s="220"/>
      <c r="G70" s="220"/>
      <c r="H70" s="220"/>
    </row>
    <row r="71" spans="1:8" x14ac:dyDescent="0.25">
      <c r="A71" s="220"/>
      <c r="B71" s="220"/>
      <c r="C71" s="220"/>
      <c r="D71" s="220"/>
      <c r="E71" s="220"/>
      <c r="F71" s="220"/>
      <c r="G71" s="220"/>
      <c r="H71" s="220"/>
    </row>
    <row r="72" spans="1:8" x14ac:dyDescent="0.25">
      <c r="A72" s="220"/>
      <c r="B72" s="220"/>
      <c r="C72" s="220"/>
      <c r="D72" s="220"/>
      <c r="E72" s="220"/>
      <c r="F72" s="220"/>
      <c r="G72" s="220"/>
      <c r="H72" s="220"/>
    </row>
    <row r="73" spans="1:8" x14ac:dyDescent="0.25">
      <c r="A73" s="220"/>
      <c r="B73" s="220"/>
      <c r="C73" s="220"/>
      <c r="D73" s="220"/>
      <c r="E73" s="220"/>
      <c r="F73" s="220"/>
      <c r="G73" s="220"/>
      <c r="H73" s="220"/>
    </row>
    <row r="74" spans="1:8" x14ac:dyDescent="0.25">
      <c r="A74" s="220"/>
      <c r="B74" s="220"/>
      <c r="C74" s="220"/>
      <c r="D74" s="220"/>
      <c r="E74" s="220"/>
      <c r="F74" s="220"/>
      <c r="G74" s="220"/>
      <c r="H74" s="220"/>
    </row>
    <row r="75" spans="1:8" x14ac:dyDescent="0.25">
      <c r="A75" s="220"/>
      <c r="B75" s="220"/>
      <c r="C75" s="220"/>
      <c r="D75" s="220"/>
      <c r="E75" s="220"/>
      <c r="F75" s="220"/>
      <c r="G75" s="220"/>
      <c r="H75" s="220"/>
    </row>
    <row r="76" spans="1:8" x14ac:dyDescent="0.25">
      <c r="A76" s="220"/>
      <c r="B76" s="220"/>
      <c r="C76" s="220"/>
      <c r="D76" s="220"/>
      <c r="E76" s="220"/>
      <c r="F76" s="220"/>
      <c r="G76" s="220"/>
      <c r="H76" s="220"/>
    </row>
    <row r="77" spans="1:8" x14ac:dyDescent="0.25">
      <c r="A77" s="220"/>
      <c r="B77" s="220"/>
      <c r="C77" s="220"/>
      <c r="D77" s="220"/>
      <c r="E77" s="220"/>
      <c r="F77" s="220"/>
      <c r="G77" s="220"/>
      <c r="H77" s="220"/>
    </row>
    <row r="78" spans="1:8" x14ac:dyDescent="0.25">
      <c r="A78" s="220"/>
      <c r="B78" s="220"/>
      <c r="C78" s="220"/>
      <c r="D78" s="220"/>
      <c r="E78" s="220"/>
      <c r="F78" s="220"/>
      <c r="G78" s="220"/>
      <c r="H78" s="220"/>
    </row>
    <row r="79" spans="1:8" x14ac:dyDescent="0.25">
      <c r="A79" s="220"/>
      <c r="B79" s="220"/>
      <c r="C79" s="220"/>
      <c r="D79" s="220"/>
      <c r="E79" s="220"/>
      <c r="F79" s="220"/>
      <c r="G79" s="220"/>
      <c r="H79" s="220"/>
    </row>
    <row r="80" spans="1:8" x14ac:dyDescent="0.25">
      <c r="A80" s="220"/>
      <c r="B80" s="220"/>
      <c r="C80" s="220"/>
      <c r="D80" s="220"/>
      <c r="E80" s="220"/>
      <c r="F80" s="220"/>
      <c r="G80" s="220"/>
      <c r="H80" s="220"/>
    </row>
    <row r="81" spans="1:16" x14ac:dyDescent="0.25">
      <c r="A81" s="220"/>
      <c r="B81" s="220"/>
      <c r="C81" s="220"/>
      <c r="D81" s="220"/>
      <c r="E81" s="220"/>
      <c r="F81" s="220"/>
      <c r="G81" s="220"/>
      <c r="H81" s="220"/>
    </row>
    <row r="82" spans="1:16" x14ac:dyDescent="0.25">
      <c r="A82" s="220"/>
      <c r="B82" s="220"/>
      <c r="C82" s="220"/>
      <c r="D82" s="220"/>
      <c r="E82" s="220"/>
      <c r="F82" s="220"/>
      <c r="G82" s="220"/>
      <c r="H82" s="220"/>
    </row>
    <row r="83" spans="1:16" x14ac:dyDescent="0.25">
      <c r="A83" s="220"/>
      <c r="B83" s="220"/>
      <c r="C83" s="220"/>
      <c r="D83" s="220"/>
      <c r="E83" s="220"/>
      <c r="F83" s="220"/>
      <c r="G83" s="220"/>
      <c r="H83" s="220"/>
    </row>
    <row r="84" spans="1:16" x14ac:dyDescent="0.25">
      <c r="A84" s="220"/>
      <c r="B84" s="220"/>
      <c r="C84" s="220"/>
      <c r="D84" s="220"/>
      <c r="E84" s="220"/>
      <c r="F84" s="220"/>
      <c r="G84" s="220"/>
      <c r="H84" s="220"/>
    </row>
    <row r="85" spans="1:16" x14ac:dyDescent="0.25">
      <c r="A85" s="220"/>
      <c r="B85" s="220"/>
      <c r="C85" s="220"/>
      <c r="D85" s="220"/>
      <c r="E85" s="220"/>
      <c r="F85" s="220"/>
      <c r="G85" s="220"/>
      <c r="H85" s="220"/>
    </row>
    <row r="86" spans="1:16" x14ac:dyDescent="0.25">
      <c r="A86" s="220"/>
      <c r="B86" s="220"/>
      <c r="C86" s="220"/>
      <c r="D86" s="220"/>
      <c r="E86" s="220"/>
      <c r="F86" s="220"/>
      <c r="G86" s="220"/>
      <c r="H86" s="220"/>
    </row>
    <row r="87" spans="1:16" x14ac:dyDescent="0.25">
      <c r="A87" s="220"/>
      <c r="B87" s="220"/>
      <c r="C87" s="220"/>
      <c r="D87" s="220"/>
      <c r="E87" s="220"/>
      <c r="F87" s="220"/>
      <c r="G87" s="220"/>
      <c r="H87" s="220"/>
      <c r="O87" s="220"/>
      <c r="P87" s="220"/>
    </row>
    <row r="88" spans="1:16" x14ac:dyDescent="0.25">
      <c r="A88" s="220"/>
      <c r="B88" s="220"/>
      <c r="C88" s="220"/>
      <c r="D88" s="220"/>
      <c r="E88" s="220"/>
      <c r="F88" s="220"/>
      <c r="G88" s="220"/>
      <c r="H88" s="220"/>
    </row>
  </sheetData>
  <mergeCells count="17">
    <mergeCell ref="A1:H1"/>
    <mergeCell ref="A8:G8"/>
    <mergeCell ref="A13:H13"/>
    <mergeCell ref="A21:H21"/>
    <mergeCell ref="A28:H28"/>
    <mergeCell ref="A22:A27"/>
    <mergeCell ref="A10:H10"/>
    <mergeCell ref="A11:B11"/>
    <mergeCell ref="A12:B12"/>
    <mergeCell ref="A9:H9"/>
    <mergeCell ref="A38:G38"/>
    <mergeCell ref="A36:A37"/>
    <mergeCell ref="A14:A17"/>
    <mergeCell ref="A19:A20"/>
    <mergeCell ref="A35:H35"/>
    <mergeCell ref="A18:H18"/>
    <mergeCell ref="A29:A34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pageSetUpPr fitToPage="1"/>
  </sheetPr>
  <dimension ref="A1:H124"/>
  <sheetViews>
    <sheetView view="pageBreakPreview" topLeftCell="A4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8" width="15.7109375" style="32" customWidth="1"/>
    <col min="9" max="9" width="9.140625" style="28" customWidth="1"/>
    <col min="10" max="16384" width="9.140625" style="28"/>
  </cols>
  <sheetData>
    <row r="1" spans="1:8" x14ac:dyDescent="0.25">
      <c r="A1" s="393"/>
      <c r="B1" s="394"/>
      <c r="C1" s="394"/>
      <c r="D1" s="394"/>
      <c r="E1" s="394"/>
      <c r="F1" s="394"/>
      <c r="G1" s="394"/>
      <c r="H1" s="395"/>
    </row>
    <row r="2" spans="1:8" s="38" customFormat="1" ht="16.5" customHeight="1" x14ac:dyDescent="0.25">
      <c r="A2" s="396" t="s">
        <v>132</v>
      </c>
      <c r="B2" s="397"/>
      <c r="C2" s="397"/>
      <c r="D2" s="397"/>
      <c r="E2" s="397"/>
      <c r="F2" s="397"/>
      <c r="G2" s="397"/>
      <c r="H2" s="398"/>
    </row>
    <row r="3" spans="1:8" s="38" customFormat="1" x14ac:dyDescent="0.25">
      <c r="A3" s="399" t="s">
        <v>129</v>
      </c>
      <c r="B3" s="400"/>
      <c r="C3" s="400"/>
      <c r="D3" s="400"/>
      <c r="E3" s="400"/>
      <c r="F3" s="400"/>
      <c r="G3" s="400"/>
      <c r="H3" s="401"/>
    </row>
    <row r="4" spans="1:8" s="38" customFormat="1" ht="15" customHeight="1" x14ac:dyDescent="0.25">
      <c r="A4" s="40" t="s">
        <v>0</v>
      </c>
      <c r="B4" s="41" t="s">
        <v>1</v>
      </c>
      <c r="C4" s="402">
        <v>2024</v>
      </c>
      <c r="D4" s="402"/>
      <c r="E4" s="402"/>
      <c r="F4" s="402"/>
      <c r="G4" s="402"/>
      <c r="H4" s="403"/>
    </row>
    <row r="5" spans="1:8" s="38" customFormat="1" ht="45" customHeight="1" x14ac:dyDescent="0.25">
      <c r="A5" s="40" t="s">
        <v>2</v>
      </c>
      <c r="B5" s="41" t="s">
        <v>140</v>
      </c>
      <c r="C5" s="391" t="s">
        <v>268</v>
      </c>
      <c r="D5" s="391"/>
      <c r="E5" s="391"/>
      <c r="F5" s="391"/>
      <c r="G5" s="391"/>
      <c r="H5" s="392"/>
    </row>
    <row r="6" spans="1:8" s="38" customFormat="1" ht="15.75" customHeight="1" x14ac:dyDescent="0.25">
      <c r="A6" s="40" t="s">
        <v>3</v>
      </c>
      <c r="B6" s="41" t="s">
        <v>4</v>
      </c>
      <c r="C6" s="391" t="s">
        <v>284</v>
      </c>
      <c r="D6" s="391"/>
      <c r="E6" s="391"/>
      <c r="F6" s="391"/>
      <c r="G6" s="391"/>
      <c r="H6" s="392"/>
    </row>
    <row r="7" spans="1:8" s="38" customFormat="1" x14ac:dyDescent="0.25">
      <c r="A7" s="40" t="s">
        <v>5</v>
      </c>
      <c r="B7" s="41" t="s">
        <v>143</v>
      </c>
      <c r="C7" s="391">
        <v>12</v>
      </c>
      <c r="D7" s="391"/>
      <c r="E7" s="391"/>
      <c r="F7" s="391"/>
      <c r="G7" s="391"/>
      <c r="H7" s="392"/>
    </row>
    <row r="8" spans="1:8" s="38" customFormat="1" x14ac:dyDescent="0.25">
      <c r="A8" s="399" t="s">
        <v>6</v>
      </c>
      <c r="B8" s="400"/>
      <c r="C8" s="400"/>
      <c r="D8" s="400"/>
      <c r="E8" s="400"/>
      <c r="F8" s="400"/>
      <c r="G8" s="400"/>
      <c r="H8" s="401"/>
    </row>
    <row r="9" spans="1:8" s="38" customFormat="1" x14ac:dyDescent="0.25">
      <c r="A9" s="399" t="s">
        <v>7</v>
      </c>
      <c r="B9" s="400"/>
      <c r="C9" s="400"/>
      <c r="D9" s="400"/>
      <c r="E9" s="400"/>
      <c r="F9" s="400"/>
      <c r="G9" s="400"/>
      <c r="H9" s="401"/>
    </row>
    <row r="10" spans="1:8" s="38" customFormat="1" ht="15.75" customHeight="1" x14ac:dyDescent="0.25">
      <c r="A10" s="399" t="s">
        <v>8</v>
      </c>
      <c r="B10" s="400"/>
      <c r="C10" s="400"/>
      <c r="D10" s="400"/>
      <c r="E10" s="400"/>
      <c r="F10" s="400"/>
      <c r="G10" s="400"/>
      <c r="H10" s="401"/>
    </row>
    <row r="11" spans="1:8" s="38" customFormat="1" ht="30" customHeight="1" x14ac:dyDescent="0.25">
      <c r="A11" s="407" t="s">
        <v>9</v>
      </c>
      <c r="B11" s="408"/>
      <c r="C11" s="408"/>
      <c r="D11" s="408" t="s">
        <v>10</v>
      </c>
      <c r="E11" s="408"/>
      <c r="F11" s="408"/>
      <c r="G11" s="408"/>
      <c r="H11" s="413"/>
    </row>
    <row r="12" spans="1:8" s="38" customFormat="1" ht="30" customHeight="1" x14ac:dyDescent="0.25">
      <c r="A12" s="40">
        <v>1</v>
      </c>
      <c r="B12" s="42" t="s">
        <v>133</v>
      </c>
      <c r="C12" s="409" t="s">
        <v>269</v>
      </c>
      <c r="D12" s="409"/>
      <c r="E12" s="409"/>
      <c r="F12" s="409"/>
      <c r="G12" s="409"/>
      <c r="H12" s="410"/>
    </row>
    <row r="13" spans="1:8" s="38" customFormat="1" ht="30" customHeight="1" x14ac:dyDescent="0.25">
      <c r="A13" s="40">
        <v>2</v>
      </c>
      <c r="B13" s="42" t="s">
        <v>11</v>
      </c>
      <c r="C13" s="385">
        <v>3248.32</v>
      </c>
      <c r="D13" s="386"/>
      <c r="E13" s="387"/>
      <c r="F13" s="388">
        <v>3772.76</v>
      </c>
      <c r="G13" s="389"/>
      <c r="H13" s="390"/>
    </row>
    <row r="14" spans="1:8" s="38" customFormat="1" ht="15.75" customHeight="1" x14ac:dyDescent="0.25">
      <c r="A14" s="40">
        <v>3</v>
      </c>
      <c r="B14" s="42" t="s">
        <v>12</v>
      </c>
      <c r="C14" s="409" t="s">
        <v>263</v>
      </c>
      <c r="D14" s="409"/>
      <c r="E14" s="409"/>
      <c r="F14" s="409"/>
      <c r="G14" s="409"/>
      <c r="H14" s="410"/>
    </row>
    <row r="15" spans="1:8" s="38" customFormat="1" x14ac:dyDescent="0.25">
      <c r="A15" s="40">
        <v>4</v>
      </c>
      <c r="B15" s="43" t="s">
        <v>13</v>
      </c>
      <c r="C15" s="411">
        <v>2024</v>
      </c>
      <c r="D15" s="411"/>
      <c r="E15" s="411"/>
      <c r="F15" s="411"/>
      <c r="G15" s="411"/>
      <c r="H15" s="412"/>
    </row>
    <row r="16" spans="1:8" s="39" customFormat="1" ht="31.5" x14ac:dyDescent="0.25">
      <c r="A16" s="404" t="s">
        <v>14</v>
      </c>
      <c r="B16" s="405"/>
      <c r="C16" s="405"/>
      <c r="D16" s="289" t="s">
        <v>265</v>
      </c>
      <c r="E16" s="310" t="s">
        <v>304</v>
      </c>
      <c r="F16" s="311" t="s">
        <v>266</v>
      </c>
      <c r="G16" s="286" t="s">
        <v>267</v>
      </c>
      <c r="H16" s="290" t="s">
        <v>265</v>
      </c>
    </row>
    <row r="17" spans="1:8" s="39" customFormat="1" x14ac:dyDescent="0.25">
      <c r="A17" s="293">
        <v>1</v>
      </c>
      <c r="B17" s="406" t="s">
        <v>15</v>
      </c>
      <c r="C17" s="406"/>
      <c r="D17" s="61" t="s">
        <v>10</v>
      </c>
      <c r="E17" s="61" t="s">
        <v>10</v>
      </c>
      <c r="F17" s="61" t="s">
        <v>10</v>
      </c>
      <c r="G17" s="61" t="s">
        <v>10</v>
      </c>
      <c r="H17" s="62" t="s">
        <v>10</v>
      </c>
    </row>
    <row r="18" spans="1:8" s="38" customFormat="1" ht="15.75" customHeight="1" x14ac:dyDescent="0.25">
      <c r="A18" s="45" t="s">
        <v>0</v>
      </c>
      <c r="B18" s="46" t="s">
        <v>16</v>
      </c>
      <c r="C18" s="43"/>
      <c r="D18" s="81">
        <f>C13</f>
        <v>3248.32</v>
      </c>
      <c r="E18" s="69">
        <f>F13</f>
        <v>3772.76</v>
      </c>
      <c r="F18" s="69">
        <f>F13</f>
        <v>3772.76</v>
      </c>
      <c r="G18" s="81">
        <f>C13</f>
        <v>3248.32</v>
      </c>
      <c r="H18" s="63">
        <f>C13</f>
        <v>3248.32</v>
      </c>
    </row>
    <row r="19" spans="1:8" s="38" customFormat="1" ht="15.75" customHeight="1" x14ac:dyDescent="0.25">
      <c r="A19" s="45" t="s">
        <v>2</v>
      </c>
      <c r="B19" s="46" t="s">
        <v>17</v>
      </c>
      <c r="C19" s="82"/>
      <c r="D19" s="131"/>
      <c r="E19" s="131"/>
      <c r="F19" s="131"/>
      <c r="G19" s="131"/>
      <c r="H19" s="166"/>
    </row>
    <row r="20" spans="1:8" s="38" customFormat="1" ht="15.75" customHeight="1" x14ac:dyDescent="0.25">
      <c r="A20" s="45" t="s">
        <v>3</v>
      </c>
      <c r="B20" s="46" t="s">
        <v>18</v>
      </c>
      <c r="C20" s="115" t="s">
        <v>244</v>
      </c>
      <c r="D20" s="79">
        <f>40%*1412</f>
        <v>564.79999999999995</v>
      </c>
      <c r="E20" s="79">
        <f t="shared" ref="E20:H20" si="0">40%*1412</f>
        <v>564.79999999999995</v>
      </c>
      <c r="F20" s="79">
        <f t="shared" si="0"/>
        <v>564.79999999999995</v>
      </c>
      <c r="G20" s="79">
        <f>40%*1412</f>
        <v>564.79999999999995</v>
      </c>
      <c r="H20" s="167">
        <f t="shared" si="0"/>
        <v>564.79999999999995</v>
      </c>
    </row>
    <row r="21" spans="1:8" s="38" customFormat="1" ht="15.75" customHeight="1" x14ac:dyDescent="0.25">
      <c r="A21" s="45" t="s">
        <v>5</v>
      </c>
      <c r="B21" s="46" t="s">
        <v>19</v>
      </c>
      <c r="C21" s="82"/>
      <c r="D21" s="131"/>
      <c r="E21" s="131"/>
      <c r="F21" s="131"/>
      <c r="G21" s="131"/>
      <c r="H21" s="166"/>
    </row>
    <row r="22" spans="1:8" s="38" customFormat="1" ht="15.75" customHeight="1" x14ac:dyDescent="0.25">
      <c r="A22" s="45" t="s">
        <v>20</v>
      </c>
      <c r="B22" s="46" t="s">
        <v>203</v>
      </c>
      <c r="C22" s="82"/>
      <c r="D22" s="131"/>
      <c r="E22" s="131"/>
      <c r="F22" s="131"/>
      <c r="G22" s="131"/>
      <c r="H22" s="166"/>
    </row>
    <row r="23" spans="1:8" s="38" customFormat="1" x14ac:dyDescent="0.25">
      <c r="A23" s="45" t="s">
        <v>21</v>
      </c>
      <c r="B23" s="46" t="s">
        <v>138</v>
      </c>
      <c r="C23" s="49"/>
      <c r="D23" s="132"/>
      <c r="E23" s="132"/>
      <c r="F23" s="132"/>
      <c r="G23" s="132"/>
      <c r="H23" s="168"/>
    </row>
    <row r="24" spans="1:8" s="38" customFormat="1" ht="15.75" customHeight="1" x14ac:dyDescent="0.25">
      <c r="A24" s="45" t="s">
        <v>22</v>
      </c>
      <c r="B24" s="47" t="s">
        <v>139</v>
      </c>
      <c r="C24" s="49"/>
      <c r="D24" s="132"/>
      <c r="E24" s="132"/>
      <c r="F24" s="132"/>
      <c r="G24" s="132"/>
      <c r="H24" s="168"/>
    </row>
    <row r="25" spans="1:8" s="39" customFormat="1" ht="15.75" customHeight="1" x14ac:dyDescent="0.25">
      <c r="A25" s="418" t="s">
        <v>152</v>
      </c>
      <c r="B25" s="419"/>
      <c r="C25" s="419"/>
      <c r="D25" s="93">
        <f>SUM(D18:D24)</f>
        <v>3813.12</v>
      </c>
      <c r="E25" s="93">
        <f>SUM(E18:E24)</f>
        <v>4337.5600000000004</v>
      </c>
      <c r="F25" s="93">
        <f>SUM(F18:F24)</f>
        <v>4337.5600000000004</v>
      </c>
      <c r="G25" s="93">
        <f>SUM(G18:G24)</f>
        <v>3813.12</v>
      </c>
      <c r="H25" s="169">
        <f>SUM(H18:H24)</f>
        <v>3813.12</v>
      </c>
    </row>
    <row r="26" spans="1:8" s="39" customFormat="1" x14ac:dyDescent="0.25">
      <c r="A26" s="404" t="s">
        <v>51</v>
      </c>
      <c r="B26" s="405"/>
      <c r="C26" s="405"/>
      <c r="D26" s="298"/>
      <c r="E26" s="298"/>
      <c r="F26" s="298"/>
      <c r="G26" s="298"/>
      <c r="H26" s="300"/>
    </row>
    <row r="27" spans="1:8" s="38" customFormat="1" x14ac:dyDescent="0.25">
      <c r="A27" s="281">
        <v>2</v>
      </c>
      <c r="B27" s="420" t="s">
        <v>204</v>
      </c>
      <c r="C27" s="421"/>
      <c r="D27" s="74" t="s">
        <v>10</v>
      </c>
      <c r="E27" s="74" t="s">
        <v>10</v>
      </c>
      <c r="F27" s="74" t="s">
        <v>10</v>
      </c>
      <c r="G27" s="74" t="s">
        <v>10</v>
      </c>
      <c r="H27" s="165" t="s">
        <v>10</v>
      </c>
    </row>
    <row r="28" spans="1:8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71">
        <f>(D25)*C28</f>
        <v>317.63</v>
      </c>
      <c r="E28" s="71">
        <f>(E25)*C28</f>
        <v>361.32</v>
      </c>
      <c r="F28" s="71">
        <f>(F25)*C28</f>
        <v>361.32</v>
      </c>
      <c r="G28" s="71">
        <f>(G25)*C28</f>
        <v>317.63</v>
      </c>
      <c r="H28" s="170">
        <f>(H25)*C28</f>
        <v>317.63</v>
      </c>
    </row>
    <row r="29" spans="1:8" s="38" customFormat="1" x14ac:dyDescent="0.25">
      <c r="A29" s="50" t="s">
        <v>2</v>
      </c>
      <c r="B29" s="51" t="s">
        <v>148</v>
      </c>
      <c r="C29" s="59">
        <v>0.1111</v>
      </c>
      <c r="D29" s="71">
        <f>D25*C29</f>
        <v>423.64</v>
      </c>
      <c r="E29" s="71">
        <f>E25*C29</f>
        <v>481.9</v>
      </c>
      <c r="F29" s="71">
        <f>F25*C29</f>
        <v>481.9</v>
      </c>
      <c r="G29" s="71">
        <f>G25*C29</f>
        <v>423.64</v>
      </c>
      <c r="H29" s="170">
        <f>H25*C29</f>
        <v>423.64</v>
      </c>
    </row>
    <row r="30" spans="1:8" x14ac:dyDescent="0.25">
      <c r="A30" s="416" t="s">
        <v>27</v>
      </c>
      <c r="B30" s="417"/>
      <c r="C30" s="99">
        <f t="shared" ref="C30" si="1">SUM(C28:C29)</f>
        <v>0.19439999999999999</v>
      </c>
      <c r="D30" s="85">
        <f>SUM(D28:D29)</f>
        <v>741.27</v>
      </c>
      <c r="E30" s="85">
        <f>SUM(E28:E29)</f>
        <v>843.22</v>
      </c>
      <c r="F30" s="85">
        <f>SUM(F28:F29)</f>
        <v>843.22</v>
      </c>
      <c r="G30" s="85">
        <f>SUM(G28:G29)</f>
        <v>741.27</v>
      </c>
      <c r="H30" s="171">
        <f>SUM(H28:H29)</f>
        <v>741.27</v>
      </c>
    </row>
    <row r="31" spans="1:8" ht="32.25" customHeight="1" x14ac:dyDescent="0.25">
      <c r="A31" s="424" t="s">
        <v>205</v>
      </c>
      <c r="B31" s="425"/>
      <c r="C31" s="425"/>
      <c r="D31" s="425"/>
      <c r="E31" s="425"/>
      <c r="F31" s="425"/>
      <c r="G31" s="425"/>
      <c r="H31" s="426"/>
    </row>
    <row r="32" spans="1:8" x14ac:dyDescent="0.25">
      <c r="A32" s="285" t="s">
        <v>214</v>
      </c>
      <c r="B32" s="422" t="s">
        <v>25</v>
      </c>
      <c r="C32" s="423"/>
      <c r="D32" s="291"/>
      <c r="E32" s="291"/>
      <c r="F32" s="291"/>
      <c r="G32" s="291"/>
      <c r="H32" s="172"/>
    </row>
    <row r="33" spans="1:8" x14ac:dyDescent="0.25">
      <c r="A33" s="50" t="s">
        <v>0</v>
      </c>
      <c r="B33" s="87" t="s">
        <v>206</v>
      </c>
      <c r="C33" s="59">
        <v>0.2</v>
      </c>
      <c r="D33" s="71">
        <f>(D25+D30)*C33</f>
        <v>910.88</v>
      </c>
      <c r="E33" s="71">
        <f>(E25+E$30)*C33</f>
        <v>1036.1600000000001</v>
      </c>
      <c r="F33" s="71">
        <f>(F25+F$30)*C33</f>
        <v>1036.1600000000001</v>
      </c>
      <c r="G33" s="71">
        <f>(G25+G$30)*C33</f>
        <v>910.88</v>
      </c>
      <c r="H33" s="170">
        <f>(H25+H$30)*C33</f>
        <v>910.88</v>
      </c>
    </row>
    <row r="34" spans="1:8" x14ac:dyDescent="0.25">
      <c r="A34" s="50" t="s">
        <v>2</v>
      </c>
      <c r="B34" s="87" t="s">
        <v>207</v>
      </c>
      <c r="C34" s="88">
        <v>1.4999999999999999E-2</v>
      </c>
      <c r="D34" s="71">
        <f>(D25+D$30)*C34</f>
        <v>68.319999999999993</v>
      </c>
      <c r="E34" s="71">
        <f t="shared" ref="E34:E40" si="2">($E$25+E$30)*C34</f>
        <v>77.709999999999994</v>
      </c>
      <c r="F34" s="71">
        <f t="shared" ref="F34:F40" si="3">($F$25+F$30)*C34</f>
        <v>77.709999999999994</v>
      </c>
      <c r="G34" s="71">
        <f t="shared" ref="G34:G40" si="4">($G$25+G$30)*C34</f>
        <v>68.319999999999993</v>
      </c>
      <c r="H34" s="170">
        <f t="shared" ref="H34:H40" si="5">($H$25+H$30)*C34</f>
        <v>68.319999999999993</v>
      </c>
    </row>
    <row r="35" spans="1:8" x14ac:dyDescent="0.25">
      <c r="A35" s="50" t="s">
        <v>3</v>
      </c>
      <c r="B35" s="87" t="s">
        <v>208</v>
      </c>
      <c r="C35" s="88">
        <v>0.01</v>
      </c>
      <c r="D35" s="71">
        <f>(D25+D$30)*C35</f>
        <v>45.54</v>
      </c>
      <c r="E35" s="71">
        <f t="shared" si="2"/>
        <v>51.81</v>
      </c>
      <c r="F35" s="71">
        <f t="shared" si="3"/>
        <v>51.81</v>
      </c>
      <c r="G35" s="71">
        <f t="shared" si="4"/>
        <v>45.54</v>
      </c>
      <c r="H35" s="170">
        <f t="shared" si="5"/>
        <v>45.54</v>
      </c>
    </row>
    <row r="36" spans="1:8" ht="31.5" x14ac:dyDescent="0.25">
      <c r="A36" s="50" t="s">
        <v>5</v>
      </c>
      <c r="B36" s="287" t="s">
        <v>209</v>
      </c>
      <c r="C36" s="88">
        <v>2E-3</v>
      </c>
      <c r="D36" s="71">
        <f>(D25+D$30)*C36</f>
        <v>9.11</v>
      </c>
      <c r="E36" s="71">
        <f t="shared" si="2"/>
        <v>10.36</v>
      </c>
      <c r="F36" s="71">
        <f t="shared" si="3"/>
        <v>10.36</v>
      </c>
      <c r="G36" s="71">
        <f t="shared" si="4"/>
        <v>9.11</v>
      </c>
      <c r="H36" s="170">
        <f t="shared" si="5"/>
        <v>9.11</v>
      </c>
    </row>
    <row r="37" spans="1:8" x14ac:dyDescent="0.25">
      <c r="A37" s="50" t="s">
        <v>20</v>
      </c>
      <c r="B37" s="87" t="s">
        <v>210</v>
      </c>
      <c r="C37" s="88">
        <v>2.5000000000000001E-2</v>
      </c>
      <c r="D37" s="71">
        <f>(D25+D$30)*C37</f>
        <v>113.86</v>
      </c>
      <c r="E37" s="71">
        <f t="shared" si="2"/>
        <v>129.52000000000001</v>
      </c>
      <c r="F37" s="71">
        <f t="shared" si="3"/>
        <v>129.52000000000001</v>
      </c>
      <c r="G37" s="71">
        <f t="shared" si="4"/>
        <v>113.86</v>
      </c>
      <c r="H37" s="170">
        <f t="shared" si="5"/>
        <v>113.86</v>
      </c>
    </row>
    <row r="38" spans="1:8" x14ac:dyDescent="0.25">
      <c r="A38" s="50" t="s">
        <v>21</v>
      </c>
      <c r="B38" s="114" t="s">
        <v>211</v>
      </c>
      <c r="C38" s="88">
        <v>0.08</v>
      </c>
      <c r="D38" s="71">
        <f>(D25+D$30)*C38</f>
        <v>364.35</v>
      </c>
      <c r="E38" s="71">
        <f t="shared" si="2"/>
        <v>414.46</v>
      </c>
      <c r="F38" s="71">
        <f t="shared" si="3"/>
        <v>414.46</v>
      </c>
      <c r="G38" s="71">
        <f t="shared" si="4"/>
        <v>364.35</v>
      </c>
      <c r="H38" s="170">
        <f t="shared" si="5"/>
        <v>364.35</v>
      </c>
    </row>
    <row r="39" spans="1:8" ht="30.75" customHeight="1" x14ac:dyDescent="0.25">
      <c r="A39" s="50" t="s">
        <v>22</v>
      </c>
      <c r="B39" s="287" t="s">
        <v>212</v>
      </c>
      <c r="C39" s="88">
        <v>0.03</v>
      </c>
      <c r="D39" s="71">
        <f>($D$25+D$30)*C39</f>
        <v>136.63</v>
      </c>
      <c r="E39" s="71">
        <f t="shared" si="2"/>
        <v>155.41999999999999</v>
      </c>
      <c r="F39" s="71">
        <f t="shared" si="3"/>
        <v>155.41999999999999</v>
      </c>
      <c r="G39" s="71">
        <f t="shared" si="4"/>
        <v>136.63</v>
      </c>
      <c r="H39" s="170">
        <f t="shared" si="5"/>
        <v>136.63</v>
      </c>
    </row>
    <row r="40" spans="1:8" x14ac:dyDescent="0.25">
      <c r="A40" s="50" t="s">
        <v>26</v>
      </c>
      <c r="B40" s="113" t="s">
        <v>213</v>
      </c>
      <c r="C40" s="88">
        <v>6.0000000000000001E-3</v>
      </c>
      <c r="D40" s="71">
        <f>($D$25+D$30)*C40</f>
        <v>27.33</v>
      </c>
      <c r="E40" s="71">
        <f t="shared" si="2"/>
        <v>31.08</v>
      </c>
      <c r="F40" s="71">
        <f t="shared" si="3"/>
        <v>31.08</v>
      </c>
      <c r="G40" s="71">
        <f t="shared" si="4"/>
        <v>27.33</v>
      </c>
      <c r="H40" s="170">
        <f t="shared" si="5"/>
        <v>27.33</v>
      </c>
    </row>
    <row r="41" spans="1:8" s="30" customFormat="1" x14ac:dyDescent="0.25">
      <c r="A41" s="416" t="s">
        <v>27</v>
      </c>
      <c r="B41" s="417"/>
      <c r="C41" s="60">
        <f t="shared" ref="C41" si="6">SUM(C33:C40)</f>
        <v>0.36799999999999999</v>
      </c>
      <c r="D41" s="89">
        <f>SUM(D33:D40)</f>
        <v>1676.02</v>
      </c>
      <c r="E41" s="89">
        <f>SUM(E33:E40)</f>
        <v>1906.52</v>
      </c>
      <c r="F41" s="89">
        <f>SUM(F33:F40)</f>
        <v>1906.52</v>
      </c>
      <c r="G41" s="89">
        <f>SUM(G33:G40)</f>
        <v>1676.02</v>
      </c>
      <c r="H41" s="173">
        <f>SUM(H33:H40)</f>
        <v>1676.02</v>
      </c>
    </row>
    <row r="42" spans="1:8" s="30" customFormat="1" x14ac:dyDescent="0.25">
      <c r="A42" s="80" t="s">
        <v>215</v>
      </c>
      <c r="B42" s="414" t="s">
        <v>216</v>
      </c>
      <c r="C42" s="415"/>
      <c r="D42" s="292"/>
      <c r="E42" s="292"/>
      <c r="F42" s="292"/>
      <c r="G42" s="111"/>
      <c r="H42" s="303"/>
    </row>
    <row r="43" spans="1:8" s="30" customFormat="1" x14ac:dyDescent="0.25">
      <c r="A43" s="98" t="s">
        <v>0</v>
      </c>
      <c r="B43" s="56" t="s">
        <v>144</v>
      </c>
      <c r="C43" s="112"/>
      <c r="D43" s="83">
        <v>0</v>
      </c>
      <c r="E43" s="83">
        <v>0</v>
      </c>
      <c r="F43" s="83">
        <v>0</v>
      </c>
      <c r="G43" s="83">
        <v>0</v>
      </c>
      <c r="H43" s="64">
        <v>0</v>
      </c>
    </row>
    <row r="44" spans="1:8" s="30" customFormat="1" x14ac:dyDescent="0.25">
      <c r="A44" s="48" t="s">
        <v>2</v>
      </c>
      <c r="B44" s="47" t="s">
        <v>217</v>
      </c>
      <c r="C44" s="79">
        <v>581.85</v>
      </c>
      <c r="D44" s="81">
        <f>C44-(C44*0.99%)</f>
        <v>576.09</v>
      </c>
      <c r="E44" s="81">
        <f>C44-(C44*0.99%)</f>
        <v>576.09</v>
      </c>
      <c r="F44" s="81">
        <f>C44-(C44*0.99%)</f>
        <v>576.09</v>
      </c>
      <c r="G44" s="81">
        <f>C44-(C44*0.99%)</f>
        <v>576.09</v>
      </c>
      <c r="H44" s="63">
        <f>C44-(C44*0.99%)</f>
        <v>576.09</v>
      </c>
    </row>
    <row r="45" spans="1:8" s="30" customFormat="1" x14ac:dyDescent="0.25">
      <c r="A45" s="50" t="s">
        <v>5</v>
      </c>
      <c r="B45" s="51" t="s">
        <v>134</v>
      </c>
      <c r="C45" s="90"/>
      <c r="D45" s="91">
        <v>0</v>
      </c>
      <c r="E45" s="91">
        <v>0</v>
      </c>
      <c r="F45" s="91">
        <v>0</v>
      </c>
      <c r="G45" s="91">
        <v>0</v>
      </c>
      <c r="H45" s="68">
        <v>0</v>
      </c>
    </row>
    <row r="46" spans="1:8" s="30" customFormat="1" x14ac:dyDescent="0.25">
      <c r="A46" s="50" t="s">
        <v>20</v>
      </c>
      <c r="B46" s="51" t="s">
        <v>135</v>
      </c>
      <c r="C46" s="59">
        <v>0.5</v>
      </c>
      <c r="D46" s="91">
        <f>D18*C46*0.0199*2/12</f>
        <v>5.39</v>
      </c>
      <c r="E46" s="91">
        <f>E18*C46*0.0199*2/12</f>
        <v>6.26</v>
      </c>
      <c r="F46" s="91">
        <f>F18*C46*0.0199*2/12</f>
        <v>6.26</v>
      </c>
      <c r="G46" s="91">
        <f>G18*C46*0.0199*2/12</f>
        <v>5.39</v>
      </c>
      <c r="H46" s="68">
        <f>H18*C46*0.0199*2/12</f>
        <v>5.39</v>
      </c>
    </row>
    <row r="47" spans="1:8" s="30" customFormat="1" x14ac:dyDescent="0.25">
      <c r="A47" s="50" t="s">
        <v>21</v>
      </c>
      <c r="B47" s="51" t="s">
        <v>136</v>
      </c>
      <c r="C47" s="71">
        <v>34733.21</v>
      </c>
      <c r="D47" s="84">
        <f>(C47*0.5%)/12</f>
        <v>14.47</v>
      </c>
      <c r="E47" s="84">
        <f>(C47*0.5%)/12</f>
        <v>14.47</v>
      </c>
      <c r="F47" s="84">
        <f>(C47*0.5%)/12</f>
        <v>14.47</v>
      </c>
      <c r="G47" s="84">
        <f>(C47*0.5%)/12</f>
        <v>14.47</v>
      </c>
      <c r="H47" s="66">
        <f>(C47*0.5%)/12</f>
        <v>14.47</v>
      </c>
    </row>
    <row r="48" spans="1:8" s="30" customFormat="1" ht="15.75" customHeight="1" x14ac:dyDescent="0.25">
      <c r="A48" s="416" t="s">
        <v>23</v>
      </c>
      <c r="B48" s="417"/>
      <c r="C48" s="417"/>
      <c r="D48" s="92">
        <f>SUM(D43:D47)</f>
        <v>595.95000000000005</v>
      </c>
      <c r="E48" s="92">
        <f>SUM(E43:E47)</f>
        <v>596.82000000000005</v>
      </c>
      <c r="F48" s="92">
        <f>SUM(F43:F47)</f>
        <v>596.82000000000005</v>
      </c>
      <c r="G48" s="92">
        <f>SUM(G43:G47)</f>
        <v>595.95000000000005</v>
      </c>
      <c r="H48" s="175">
        <f>SUM(H43:H47)</f>
        <v>595.95000000000005</v>
      </c>
    </row>
    <row r="49" spans="1:8" s="30" customFormat="1" ht="15.75" customHeight="1" x14ac:dyDescent="0.25">
      <c r="A49" s="404" t="s">
        <v>151</v>
      </c>
      <c r="B49" s="405"/>
      <c r="C49" s="405"/>
      <c r="D49" s="298"/>
      <c r="E49" s="298"/>
      <c r="F49" s="298"/>
      <c r="G49" s="298"/>
      <c r="H49" s="300"/>
    </row>
    <row r="50" spans="1:8" s="30" customFormat="1" ht="15.75" customHeight="1" x14ac:dyDescent="0.25">
      <c r="A50" s="293" t="s">
        <v>141</v>
      </c>
      <c r="B50" s="104" t="s">
        <v>145</v>
      </c>
      <c r="C50" s="294"/>
      <c r="D50" s="61">
        <f>D30</f>
        <v>741.27</v>
      </c>
      <c r="E50" s="61">
        <f>E30</f>
        <v>843.22</v>
      </c>
      <c r="F50" s="61">
        <f>F30</f>
        <v>843.22</v>
      </c>
      <c r="G50" s="61">
        <f>G30</f>
        <v>741.27</v>
      </c>
      <c r="H50" s="62">
        <f>H30</f>
        <v>741.27</v>
      </c>
    </row>
    <row r="51" spans="1:8" s="30" customFormat="1" ht="15.75" customHeight="1" x14ac:dyDescent="0.25">
      <c r="A51" s="293" t="s">
        <v>214</v>
      </c>
      <c r="B51" s="104" t="s">
        <v>146</v>
      </c>
      <c r="C51" s="294"/>
      <c r="D51" s="61">
        <f>D41</f>
        <v>1676.02</v>
      </c>
      <c r="E51" s="61">
        <f>E41</f>
        <v>1906.52</v>
      </c>
      <c r="F51" s="61">
        <f>F41</f>
        <v>1906.52</v>
      </c>
      <c r="G51" s="61">
        <f>G41</f>
        <v>1676.02</v>
      </c>
      <c r="H51" s="62">
        <f>H41</f>
        <v>1676.02</v>
      </c>
    </row>
    <row r="52" spans="1:8" s="30" customFormat="1" ht="15.75" customHeight="1" x14ac:dyDescent="0.25">
      <c r="A52" s="293" t="s">
        <v>215</v>
      </c>
      <c r="B52" s="104" t="s">
        <v>147</v>
      </c>
      <c r="C52" s="294"/>
      <c r="D52" s="61">
        <f>D48</f>
        <v>595.95000000000005</v>
      </c>
      <c r="E52" s="61">
        <f>E48</f>
        <v>596.82000000000005</v>
      </c>
      <c r="F52" s="61">
        <f>F48</f>
        <v>596.82000000000005</v>
      </c>
      <c r="G52" s="61">
        <f>G48</f>
        <v>595.95000000000005</v>
      </c>
      <c r="H52" s="62">
        <f>H48</f>
        <v>595.95000000000005</v>
      </c>
    </row>
    <row r="53" spans="1:8" s="30" customFormat="1" ht="15.75" customHeight="1" x14ac:dyDescent="0.25">
      <c r="A53" s="418" t="s">
        <v>153</v>
      </c>
      <c r="B53" s="419"/>
      <c r="C53" s="419"/>
      <c r="D53" s="93">
        <f>SUM(D50:D52)</f>
        <v>3013.24</v>
      </c>
      <c r="E53" s="93">
        <f>SUM(E50:E52)</f>
        <v>3346.56</v>
      </c>
      <c r="F53" s="93">
        <f>SUM(F50:F52)</f>
        <v>3346.56</v>
      </c>
      <c r="G53" s="93">
        <f>SUM(G50:G52)</f>
        <v>3013.24</v>
      </c>
      <c r="H53" s="169">
        <f>SUM(H50:H52)</f>
        <v>3013.24</v>
      </c>
    </row>
    <row r="54" spans="1:8" s="30" customFormat="1" ht="15.75" customHeight="1" x14ac:dyDescent="0.25">
      <c r="A54" s="404" t="s">
        <v>162</v>
      </c>
      <c r="B54" s="405"/>
      <c r="C54" s="405"/>
      <c r="D54" s="298"/>
      <c r="E54" s="298"/>
      <c r="F54" s="298"/>
      <c r="G54" s="298"/>
      <c r="H54" s="300"/>
    </row>
    <row r="55" spans="1:8" s="30" customFormat="1" ht="15.75" customHeight="1" x14ac:dyDescent="0.25">
      <c r="A55" s="281" t="s">
        <v>199</v>
      </c>
      <c r="B55" s="420" t="s">
        <v>32</v>
      </c>
      <c r="C55" s="429"/>
      <c r="D55" s="74" t="s">
        <v>10</v>
      </c>
      <c r="E55" s="74" t="s">
        <v>10</v>
      </c>
      <c r="F55" s="74" t="s">
        <v>10</v>
      </c>
      <c r="G55" s="74" t="s">
        <v>10</v>
      </c>
      <c r="H55" s="165" t="s">
        <v>10</v>
      </c>
    </row>
    <row r="56" spans="1:8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71">
        <f>D$25*C56</f>
        <v>17.54</v>
      </c>
      <c r="E56" s="71">
        <f>E$25*C56</f>
        <v>19.95</v>
      </c>
      <c r="F56" s="71">
        <f>F$25*C56</f>
        <v>19.95</v>
      </c>
      <c r="G56" s="71">
        <f>G$25*C56</f>
        <v>17.54</v>
      </c>
      <c r="H56" s="170">
        <f>H$25*C56</f>
        <v>17.54</v>
      </c>
    </row>
    <row r="57" spans="1:8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71">
        <f>D$25*C57</f>
        <v>1.53</v>
      </c>
      <c r="E57" s="71">
        <f>E$25*C57</f>
        <v>1.74</v>
      </c>
      <c r="F57" s="71">
        <f>F$25*C57</f>
        <v>1.74</v>
      </c>
      <c r="G57" s="71">
        <f>G$25*C57</f>
        <v>1.53</v>
      </c>
      <c r="H57" s="170">
        <f>H$25*C57</f>
        <v>1.53</v>
      </c>
    </row>
    <row r="58" spans="1:8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71">
        <f>D$25*C58</f>
        <v>73.97</v>
      </c>
      <c r="E58" s="71">
        <f>E$25*C58</f>
        <v>84.15</v>
      </c>
      <c r="F58" s="71">
        <f>F$25*C58</f>
        <v>84.15</v>
      </c>
      <c r="G58" s="71">
        <f>G$25*C58</f>
        <v>73.97</v>
      </c>
      <c r="H58" s="170">
        <f>H$25*C58</f>
        <v>73.97</v>
      </c>
    </row>
    <row r="59" spans="1:8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71">
        <f>D$25*C59</f>
        <v>27.07</v>
      </c>
      <c r="E59" s="71">
        <f>E$25*C59</f>
        <v>30.8</v>
      </c>
      <c r="F59" s="71">
        <f>F$25*C59</f>
        <v>30.8</v>
      </c>
      <c r="G59" s="71">
        <f>G$25*C59</f>
        <v>27.07</v>
      </c>
      <c r="H59" s="170">
        <f>H$25*C59</f>
        <v>27.07</v>
      </c>
    </row>
    <row r="60" spans="1:8" s="30" customFormat="1" ht="32.25" customHeight="1" x14ac:dyDescent="0.25">
      <c r="A60" s="50" t="s">
        <v>20</v>
      </c>
      <c r="B60" s="51" t="s">
        <v>218</v>
      </c>
      <c r="C60" s="59">
        <v>0.04</v>
      </c>
      <c r="D60" s="71">
        <f>D$25*C60</f>
        <v>152.52000000000001</v>
      </c>
      <c r="E60" s="71">
        <f>E$25*C60</f>
        <v>173.5</v>
      </c>
      <c r="F60" s="71">
        <f>F$25*C60</f>
        <v>173.5</v>
      </c>
      <c r="G60" s="71">
        <f>G$25*C60</f>
        <v>152.52000000000001</v>
      </c>
      <c r="H60" s="170">
        <f>H$25*C60</f>
        <v>152.52000000000001</v>
      </c>
    </row>
    <row r="61" spans="1:8" s="30" customFormat="1" x14ac:dyDescent="0.25">
      <c r="A61" s="418" t="s">
        <v>154</v>
      </c>
      <c r="B61" s="419"/>
      <c r="C61" s="419"/>
      <c r="D61" s="93">
        <f>SUM(D56:D60)</f>
        <v>272.63</v>
      </c>
      <c r="E61" s="93">
        <f>SUM(E56:E60)</f>
        <v>310.14</v>
      </c>
      <c r="F61" s="93">
        <f>SUM(F56:F60)</f>
        <v>310.14</v>
      </c>
      <c r="G61" s="93">
        <f>SUM(G56:G60)</f>
        <v>272.63</v>
      </c>
      <c r="H61" s="169">
        <f>SUM(H56:H60)</f>
        <v>272.63</v>
      </c>
    </row>
    <row r="62" spans="1:8" s="30" customFormat="1" x14ac:dyDescent="0.25">
      <c r="A62" s="404" t="s">
        <v>163</v>
      </c>
      <c r="B62" s="405"/>
      <c r="C62" s="405"/>
      <c r="D62" s="298"/>
      <c r="E62" s="298"/>
      <c r="F62" s="298"/>
      <c r="G62" s="298"/>
      <c r="H62" s="300"/>
    </row>
    <row r="63" spans="1:8" s="30" customFormat="1" x14ac:dyDescent="0.25">
      <c r="A63" s="281" t="s">
        <v>198</v>
      </c>
      <c r="B63" s="430" t="s">
        <v>36</v>
      </c>
      <c r="C63" s="430"/>
      <c r="D63" s="74" t="s">
        <v>10</v>
      </c>
      <c r="E63" s="74" t="s">
        <v>10</v>
      </c>
      <c r="F63" s="74" t="s">
        <v>10</v>
      </c>
      <c r="G63" s="74" t="s">
        <v>10</v>
      </c>
      <c r="H63" s="165" t="s">
        <v>10</v>
      </c>
    </row>
    <row r="64" spans="1:8" s="30" customFormat="1" x14ac:dyDescent="0.25">
      <c r="A64" s="50" t="s">
        <v>0</v>
      </c>
      <c r="B64" s="51" t="s">
        <v>191</v>
      </c>
      <c r="C64" s="59">
        <v>9.2999999999999992E-3</v>
      </c>
      <c r="D64" s="71">
        <f t="shared" ref="D64:D69" si="7">(D$25+D$53+D$61+D$84)*C64</f>
        <v>66.36</v>
      </c>
      <c r="E64" s="71">
        <f t="shared" ref="E64:E69" si="8">(E$25+E$53+E$61+E$84)*C64</f>
        <v>74.69</v>
      </c>
      <c r="F64" s="71">
        <f t="shared" ref="F64:F69" si="9">(F$25+F$53+F$61+F$84)*C64</f>
        <v>74.69</v>
      </c>
      <c r="G64" s="71">
        <f t="shared" ref="G64:G69" si="10">(G$25+G$53+G$61+G$84)*C64</f>
        <v>66.36</v>
      </c>
      <c r="H64" s="170">
        <f t="shared" ref="H64:H69" si="11">(H$25+H$53+H$61+H$84)*C64</f>
        <v>66.36</v>
      </c>
    </row>
    <row r="65" spans="1:8" s="30" customFormat="1" x14ac:dyDescent="0.25">
      <c r="A65" s="50" t="s">
        <v>2</v>
      </c>
      <c r="B65" s="51" t="s">
        <v>192</v>
      </c>
      <c r="C65" s="59">
        <v>1.66E-2</v>
      </c>
      <c r="D65" s="71">
        <f t="shared" si="7"/>
        <v>118.45</v>
      </c>
      <c r="E65" s="71">
        <f t="shared" si="8"/>
        <v>133.31</v>
      </c>
      <c r="F65" s="71">
        <f t="shared" si="9"/>
        <v>133.31</v>
      </c>
      <c r="G65" s="71">
        <f t="shared" si="10"/>
        <v>118.45</v>
      </c>
      <c r="H65" s="170">
        <f t="shared" si="11"/>
        <v>118.45</v>
      </c>
    </row>
    <row r="66" spans="1:8" s="30" customFormat="1" x14ac:dyDescent="0.25">
      <c r="A66" s="50" t="s">
        <v>3</v>
      </c>
      <c r="B66" s="51" t="s">
        <v>193</v>
      </c>
      <c r="C66" s="59">
        <v>2.0000000000000001E-4</v>
      </c>
      <c r="D66" s="71">
        <f t="shared" si="7"/>
        <v>1.43</v>
      </c>
      <c r="E66" s="71">
        <f t="shared" si="8"/>
        <v>1.61</v>
      </c>
      <c r="F66" s="71">
        <f t="shared" si="9"/>
        <v>1.61</v>
      </c>
      <c r="G66" s="71">
        <f t="shared" si="10"/>
        <v>1.43</v>
      </c>
      <c r="H66" s="170">
        <f t="shared" si="11"/>
        <v>1.43</v>
      </c>
    </row>
    <row r="67" spans="1:8" s="30" customFormat="1" x14ac:dyDescent="0.25">
      <c r="A67" s="50" t="s">
        <v>5</v>
      </c>
      <c r="B67" s="51" t="s">
        <v>194</v>
      </c>
      <c r="C67" s="59">
        <v>2.7000000000000001E-3</v>
      </c>
      <c r="D67" s="71">
        <f t="shared" si="7"/>
        <v>19.27</v>
      </c>
      <c r="E67" s="71">
        <f t="shared" si="8"/>
        <v>21.68</v>
      </c>
      <c r="F67" s="71">
        <f t="shared" si="9"/>
        <v>21.68</v>
      </c>
      <c r="G67" s="71">
        <f t="shared" si="10"/>
        <v>19.27</v>
      </c>
      <c r="H67" s="170">
        <f t="shared" si="11"/>
        <v>19.27</v>
      </c>
    </row>
    <row r="68" spans="1:8" s="30" customFormat="1" x14ac:dyDescent="0.25">
      <c r="A68" s="50" t="s">
        <v>20</v>
      </c>
      <c r="B68" s="51" t="s">
        <v>195</v>
      </c>
      <c r="C68" s="59">
        <v>2.9999999999999997E-4</v>
      </c>
      <c r="D68" s="71">
        <f t="shared" si="7"/>
        <v>2.14</v>
      </c>
      <c r="E68" s="71">
        <f t="shared" si="8"/>
        <v>2.41</v>
      </c>
      <c r="F68" s="71">
        <f t="shared" si="9"/>
        <v>2.41</v>
      </c>
      <c r="G68" s="71">
        <f t="shared" si="10"/>
        <v>2.14</v>
      </c>
      <c r="H68" s="170">
        <f t="shared" si="11"/>
        <v>2.14</v>
      </c>
    </row>
    <row r="69" spans="1:8" s="30" customFormat="1" ht="15.75" customHeight="1" x14ac:dyDescent="0.25">
      <c r="A69" s="50" t="s">
        <v>21</v>
      </c>
      <c r="B69" s="282" t="s">
        <v>196</v>
      </c>
      <c r="C69" s="59">
        <v>0</v>
      </c>
      <c r="D69" s="71">
        <f t="shared" si="7"/>
        <v>0</v>
      </c>
      <c r="E69" s="71">
        <f t="shared" si="8"/>
        <v>0</v>
      </c>
      <c r="F69" s="71">
        <f t="shared" si="9"/>
        <v>0</v>
      </c>
      <c r="G69" s="71">
        <f t="shared" si="10"/>
        <v>0</v>
      </c>
      <c r="H69" s="170">
        <f t="shared" si="11"/>
        <v>0</v>
      </c>
    </row>
    <row r="70" spans="1:8" s="30" customFormat="1" x14ac:dyDescent="0.25">
      <c r="A70" s="416" t="s">
        <v>29</v>
      </c>
      <c r="B70" s="417"/>
      <c r="C70" s="60">
        <f t="shared" ref="C70:D70" si="12">SUM(C64:C69)</f>
        <v>2.9100000000000001E-2</v>
      </c>
      <c r="D70" s="89">
        <f t="shared" si="12"/>
        <v>207.65</v>
      </c>
      <c r="E70" s="89">
        <f>SUM(E64:E69)</f>
        <v>233.7</v>
      </c>
      <c r="F70" s="89">
        <f>SUM(F64:F69)</f>
        <v>233.7</v>
      </c>
      <c r="G70" s="89">
        <f>SUM(G64:G69)</f>
        <v>207.65</v>
      </c>
      <c r="H70" s="173">
        <f>SUM(H64:H69)</f>
        <v>207.65</v>
      </c>
    </row>
    <row r="71" spans="1:8" s="30" customFormat="1" x14ac:dyDescent="0.25">
      <c r="A71" s="293"/>
      <c r="B71" s="294"/>
      <c r="C71" s="78"/>
      <c r="D71" s="78"/>
      <c r="E71" s="78"/>
      <c r="F71" s="58"/>
      <c r="G71" s="58"/>
      <c r="H71" s="309"/>
    </row>
    <row r="72" spans="1:8" s="30" customFormat="1" x14ac:dyDescent="0.25">
      <c r="A72" s="293"/>
      <c r="B72" s="406" t="s">
        <v>200</v>
      </c>
      <c r="C72" s="431"/>
      <c r="D72" s="74" t="s">
        <v>10</v>
      </c>
      <c r="E72" s="74" t="s">
        <v>10</v>
      </c>
      <c r="F72" s="74" t="s">
        <v>10</v>
      </c>
      <c r="G72" s="74" t="s">
        <v>10</v>
      </c>
      <c r="H72" s="165" t="s">
        <v>10</v>
      </c>
    </row>
    <row r="73" spans="1:8" s="30" customFormat="1" x14ac:dyDescent="0.25">
      <c r="A73" s="48" t="s">
        <v>0</v>
      </c>
      <c r="B73" s="288" t="s">
        <v>201</v>
      </c>
      <c r="C73" s="100">
        <v>0</v>
      </c>
      <c r="D73" s="69">
        <f>$C$24*C73</f>
        <v>0</v>
      </c>
      <c r="E73" s="69">
        <f>$C$24*C73</f>
        <v>0</v>
      </c>
      <c r="F73" s="69">
        <f>$C$24*C73</f>
        <v>0</v>
      </c>
      <c r="G73" s="69">
        <f>$C$24*C73</f>
        <v>0</v>
      </c>
      <c r="H73" s="176">
        <f>$C$24*C73</f>
        <v>0</v>
      </c>
    </row>
    <row r="74" spans="1:8" s="30" customFormat="1" ht="15.75" customHeight="1" x14ac:dyDescent="0.25">
      <c r="A74" s="416" t="s">
        <v>27</v>
      </c>
      <c r="B74" s="417"/>
      <c r="C74" s="101">
        <v>0</v>
      </c>
      <c r="D74" s="86">
        <f>D73</f>
        <v>0</v>
      </c>
      <c r="E74" s="86">
        <f>E73</f>
        <v>0</v>
      </c>
      <c r="F74" s="86">
        <f>F73</f>
        <v>0</v>
      </c>
      <c r="G74" s="86">
        <f>G73</f>
        <v>0</v>
      </c>
      <c r="H74" s="67">
        <f>H73</f>
        <v>0</v>
      </c>
    </row>
    <row r="75" spans="1:8" s="30" customFormat="1" ht="15.75" customHeight="1" x14ac:dyDescent="0.25">
      <c r="A75" s="404" t="s">
        <v>30</v>
      </c>
      <c r="B75" s="405"/>
      <c r="C75" s="405"/>
      <c r="D75" s="298"/>
      <c r="E75" s="298"/>
      <c r="F75" s="298"/>
      <c r="G75" s="298"/>
      <c r="H75" s="300"/>
    </row>
    <row r="76" spans="1:8" s="30" customFormat="1" ht="15.75" customHeight="1" x14ac:dyDescent="0.25">
      <c r="A76" s="432" t="s">
        <v>202</v>
      </c>
      <c r="B76" s="433"/>
      <c r="C76" s="433"/>
      <c r="D76" s="305"/>
      <c r="E76" s="305"/>
      <c r="F76" s="305"/>
      <c r="G76" s="305"/>
      <c r="H76" s="306"/>
    </row>
    <row r="77" spans="1:8" s="30" customFormat="1" ht="15.75" customHeight="1" x14ac:dyDescent="0.25">
      <c r="A77" s="281">
        <v>4</v>
      </c>
      <c r="B77" s="420" t="s">
        <v>219</v>
      </c>
      <c r="C77" s="429"/>
      <c r="D77" s="74" t="s">
        <v>10</v>
      </c>
      <c r="E77" s="74" t="s">
        <v>10</v>
      </c>
      <c r="F77" s="74" t="s">
        <v>10</v>
      </c>
      <c r="G77" s="74" t="s">
        <v>10</v>
      </c>
      <c r="H77" s="165" t="s">
        <v>10</v>
      </c>
    </row>
    <row r="78" spans="1:8" s="30" customFormat="1" ht="15.75" customHeight="1" x14ac:dyDescent="0.25">
      <c r="A78" s="50" t="s">
        <v>198</v>
      </c>
      <c r="B78" s="51" t="s">
        <v>197</v>
      </c>
      <c r="C78" s="59">
        <f t="shared" ref="C78:D78" si="13">C70</f>
        <v>2.9100000000000001E-2</v>
      </c>
      <c r="D78" s="71">
        <f t="shared" si="13"/>
        <v>207.65</v>
      </c>
      <c r="E78" s="71">
        <f>E70</f>
        <v>233.7</v>
      </c>
      <c r="F78" s="71">
        <f>F70</f>
        <v>233.7</v>
      </c>
      <c r="G78" s="71">
        <f>G70</f>
        <v>207.65</v>
      </c>
      <c r="H78" s="170">
        <f>H70</f>
        <v>207.65</v>
      </c>
    </row>
    <row r="79" spans="1:8" s="30" customFormat="1" ht="15.75" customHeight="1" x14ac:dyDescent="0.25">
      <c r="A79" s="50" t="s">
        <v>220</v>
      </c>
      <c r="B79" s="51" t="s">
        <v>200</v>
      </c>
      <c r="C79" s="59">
        <v>0</v>
      </c>
      <c r="D79" s="71">
        <f>(D$25+D$53+D$61)*C79</f>
        <v>0</v>
      </c>
      <c r="E79" s="71">
        <f>(E$25+E$53+E$61)*C79</f>
        <v>0</v>
      </c>
      <c r="F79" s="71">
        <f>(F$25+F$53+F$61)*C79</f>
        <v>0</v>
      </c>
      <c r="G79" s="71">
        <f>(G$25+G$53+G$61)*C79</f>
        <v>0</v>
      </c>
      <c r="H79" s="170">
        <f>(H$25+H$53+H$61)*C79</f>
        <v>0</v>
      </c>
    </row>
    <row r="80" spans="1:8" s="30" customFormat="1" ht="15.75" customHeight="1" x14ac:dyDescent="0.25">
      <c r="A80" s="416" t="s">
        <v>27</v>
      </c>
      <c r="B80" s="417"/>
      <c r="C80" s="99">
        <f t="shared" ref="C80:D80" si="14">SUM(C78:C79)</f>
        <v>2.9100000000000001E-2</v>
      </c>
      <c r="D80" s="85">
        <f t="shared" si="14"/>
        <v>207.65</v>
      </c>
      <c r="E80" s="85">
        <f>SUM(E78:E79)</f>
        <v>233.7</v>
      </c>
      <c r="F80" s="85">
        <f>SUM(F78:F79)</f>
        <v>233.7</v>
      </c>
      <c r="G80" s="85">
        <f>SUM(G78:G79)</f>
        <v>207.65</v>
      </c>
      <c r="H80" s="171">
        <f>SUM(H78:H79)</f>
        <v>207.65</v>
      </c>
    </row>
    <row r="81" spans="1:8" s="30" customFormat="1" ht="15.75" customHeight="1" x14ac:dyDescent="0.25">
      <c r="A81" s="418" t="s">
        <v>155</v>
      </c>
      <c r="B81" s="419"/>
      <c r="C81" s="419"/>
      <c r="D81" s="93">
        <f>SUM(D74+D80)</f>
        <v>207.65</v>
      </c>
      <c r="E81" s="93">
        <f>SUM(E74+E80)</f>
        <v>233.7</v>
      </c>
      <c r="F81" s="93">
        <f>SUM(F74+F80)</f>
        <v>233.7</v>
      </c>
      <c r="G81" s="93">
        <f>SUM(G74+G80)</f>
        <v>207.65</v>
      </c>
      <c r="H81" s="169">
        <f>SUM(H74+H80)</f>
        <v>207.65</v>
      </c>
    </row>
    <row r="82" spans="1:8" s="30" customFormat="1" ht="15.75" customHeight="1" x14ac:dyDescent="0.25">
      <c r="A82" s="427" t="s">
        <v>164</v>
      </c>
      <c r="B82" s="428"/>
      <c r="C82" s="428"/>
      <c r="D82" s="307"/>
      <c r="E82" s="307"/>
      <c r="F82" s="307"/>
      <c r="G82" s="307"/>
      <c r="H82" s="308"/>
    </row>
    <row r="83" spans="1:8" s="30" customFormat="1" ht="15.75" customHeight="1" x14ac:dyDescent="0.25">
      <c r="A83" s="281">
        <v>5</v>
      </c>
      <c r="B83" s="420" t="s">
        <v>24</v>
      </c>
      <c r="C83" s="429"/>
      <c r="D83" s="74" t="s">
        <v>10</v>
      </c>
      <c r="E83" s="74" t="s">
        <v>10</v>
      </c>
      <c r="F83" s="74" t="s">
        <v>10</v>
      </c>
      <c r="G83" s="74" t="s">
        <v>10</v>
      </c>
      <c r="H83" s="165" t="s">
        <v>10</v>
      </c>
    </row>
    <row r="84" spans="1:8" s="30" customFormat="1" ht="15.75" customHeight="1" x14ac:dyDescent="0.25">
      <c r="A84" s="50" t="s">
        <v>0</v>
      </c>
      <c r="B84" s="434" t="s">
        <v>221</v>
      </c>
      <c r="C84" s="434"/>
      <c r="D84" s="84">
        <f>Uniformes!H7</f>
        <v>36.61</v>
      </c>
      <c r="E84" s="84">
        <f>Uniformes!H7</f>
        <v>36.61</v>
      </c>
      <c r="F84" s="84">
        <f>Uniformes!H7</f>
        <v>36.61</v>
      </c>
      <c r="G84" s="84">
        <f>Uniformes!H7</f>
        <v>36.61</v>
      </c>
      <c r="H84" s="66">
        <f>Uniformes!H7</f>
        <v>36.61</v>
      </c>
    </row>
    <row r="85" spans="1:8" s="30" customFormat="1" ht="15.75" customHeight="1" x14ac:dyDescent="0.25">
      <c r="A85" s="50" t="s">
        <v>2</v>
      </c>
      <c r="B85" s="435" t="s">
        <v>222</v>
      </c>
      <c r="C85" s="435"/>
      <c r="D85" s="227">
        <f>Materiais!H18</f>
        <v>64.819999999999993</v>
      </c>
      <c r="E85" s="227">
        <f>Materiais!H19</f>
        <v>44.57</v>
      </c>
      <c r="F85" s="227">
        <f>Materiais!H20</f>
        <v>44.57</v>
      </c>
      <c r="G85" s="227">
        <f>Materiais!H21</f>
        <v>129.65</v>
      </c>
      <c r="H85" s="228">
        <f>Materiais!H22</f>
        <v>129.65</v>
      </c>
    </row>
    <row r="86" spans="1:8" s="30" customFormat="1" ht="15.75" customHeight="1" x14ac:dyDescent="0.25">
      <c r="A86" s="50" t="s">
        <v>3</v>
      </c>
      <c r="B86" s="435" t="s">
        <v>187</v>
      </c>
      <c r="C86" s="435"/>
      <c r="D86" s="229">
        <f>Equipamentos!H18</f>
        <v>1312.5</v>
      </c>
      <c r="E86" s="229">
        <f>Equipamentos!H19</f>
        <v>922.4</v>
      </c>
      <c r="F86" s="229">
        <f>Equipamentos!H20</f>
        <v>922.4</v>
      </c>
      <c r="G86" s="229">
        <f>Equipamentos!H21</f>
        <v>2625</v>
      </c>
      <c r="H86" s="230">
        <f>Equipamentos!H22</f>
        <v>2625</v>
      </c>
    </row>
    <row r="87" spans="1:8" s="30" customFormat="1" ht="15.75" customHeight="1" x14ac:dyDescent="0.25">
      <c r="A87" s="50" t="s">
        <v>5</v>
      </c>
      <c r="B87" s="434" t="s">
        <v>137</v>
      </c>
      <c r="C87" s="434"/>
      <c r="D87" s="84">
        <v>0</v>
      </c>
      <c r="E87" s="84">
        <v>0</v>
      </c>
      <c r="F87" s="84">
        <v>0</v>
      </c>
      <c r="G87" s="84">
        <v>0</v>
      </c>
      <c r="H87" s="66">
        <v>0</v>
      </c>
    </row>
    <row r="88" spans="1:8" s="30" customFormat="1" ht="15.75" customHeight="1" x14ac:dyDescent="0.25">
      <c r="A88" s="418" t="s">
        <v>156</v>
      </c>
      <c r="B88" s="419"/>
      <c r="C88" s="419"/>
      <c r="D88" s="70">
        <f>SUM(D84:D87)</f>
        <v>1413.93</v>
      </c>
      <c r="E88" s="70">
        <f>SUM(E84:E87)</f>
        <v>1003.58</v>
      </c>
      <c r="F88" s="70">
        <f>SUM(F84:F87)</f>
        <v>1003.58</v>
      </c>
      <c r="G88" s="70">
        <f>SUM(G84:G87)</f>
        <v>2791.26</v>
      </c>
      <c r="H88" s="65">
        <f>SUM(H84:H87)</f>
        <v>2791.26</v>
      </c>
    </row>
    <row r="89" spans="1:8" s="30" customFormat="1" ht="23.25" customHeight="1" x14ac:dyDescent="0.25">
      <c r="A89" s="427" t="s">
        <v>37</v>
      </c>
      <c r="B89" s="428"/>
      <c r="C89" s="428"/>
      <c r="D89" s="75">
        <f>D88+D81+D61+D53+D25</f>
        <v>8720.57</v>
      </c>
      <c r="E89" s="75">
        <f>E88+E81+E61+E53+E25</f>
        <v>9231.5400000000009</v>
      </c>
      <c r="F89" s="75">
        <f>F88+F81+F61+F53+F25</f>
        <v>9231.5400000000009</v>
      </c>
      <c r="G89" s="75">
        <f>G88+G81+G61+G53+G25</f>
        <v>10097.9</v>
      </c>
      <c r="H89" s="159">
        <f>H88+H81+H61+H53+H25</f>
        <v>10097.9</v>
      </c>
    </row>
    <row r="90" spans="1:8" s="30" customFormat="1" ht="19.5" customHeight="1" x14ac:dyDescent="0.25">
      <c r="A90" s="404" t="s">
        <v>165</v>
      </c>
      <c r="B90" s="405"/>
      <c r="C90" s="405"/>
      <c r="D90" s="298"/>
      <c r="E90" s="298"/>
      <c r="F90" s="298"/>
      <c r="G90" s="298"/>
      <c r="H90" s="300"/>
    </row>
    <row r="91" spans="1:8" s="30" customFormat="1" x14ac:dyDescent="0.25">
      <c r="A91" s="281">
        <v>6</v>
      </c>
      <c r="B91" s="420" t="s">
        <v>38</v>
      </c>
      <c r="C91" s="421"/>
      <c r="D91" s="74" t="s">
        <v>10</v>
      </c>
      <c r="E91" s="74" t="s">
        <v>10</v>
      </c>
      <c r="F91" s="74" t="s">
        <v>10</v>
      </c>
      <c r="G91" s="74" t="s">
        <v>10</v>
      </c>
      <c r="H91" s="165" t="s">
        <v>10</v>
      </c>
    </row>
    <row r="92" spans="1:8" s="30" customFormat="1" x14ac:dyDescent="0.25">
      <c r="A92" s="281" t="s">
        <v>0</v>
      </c>
      <c r="B92" s="51" t="s">
        <v>39</v>
      </c>
      <c r="C92" s="59">
        <v>0.03</v>
      </c>
      <c r="D92" s="71">
        <f>+D89*C92</f>
        <v>261.62</v>
      </c>
      <c r="E92" s="71">
        <f>+E89*C92</f>
        <v>276.95</v>
      </c>
      <c r="F92" s="71">
        <f>+F89*C92</f>
        <v>276.95</v>
      </c>
      <c r="G92" s="71">
        <f>+G89*C92</f>
        <v>302.94</v>
      </c>
      <c r="H92" s="170">
        <f>+H89*C92</f>
        <v>302.94</v>
      </c>
    </row>
    <row r="93" spans="1:8" s="30" customFormat="1" x14ac:dyDescent="0.25">
      <c r="A93" s="281" t="s">
        <v>2</v>
      </c>
      <c r="B93" s="51" t="s">
        <v>40</v>
      </c>
      <c r="C93" s="59">
        <v>6.7900000000000002E-2</v>
      </c>
      <c r="D93" s="84">
        <f>(D89+D92)*C93</f>
        <v>609.89</v>
      </c>
      <c r="E93" s="84">
        <f>(E89+E92)*C93</f>
        <v>645.63</v>
      </c>
      <c r="F93" s="84">
        <f>(F89+F92)*C93</f>
        <v>645.63</v>
      </c>
      <c r="G93" s="84">
        <f>(G89+G92)*C93</f>
        <v>706.22</v>
      </c>
      <c r="H93" s="66">
        <f>(H89+H92)*C93</f>
        <v>706.22</v>
      </c>
    </row>
    <row r="94" spans="1:8" s="30" customFormat="1" ht="31.5" x14ac:dyDescent="0.25">
      <c r="A94" s="436" t="s">
        <v>3</v>
      </c>
      <c r="B94" s="51" t="s">
        <v>50</v>
      </c>
      <c r="C94" s="59">
        <f>1-C102</f>
        <v>0.85750000000000004</v>
      </c>
      <c r="D94" s="71">
        <f>D89+D92+D93</f>
        <v>9592.08</v>
      </c>
      <c r="E94" s="71">
        <f>E89+E92+E93</f>
        <v>10154.120000000001</v>
      </c>
      <c r="F94" s="71">
        <f>F89+F92+F93</f>
        <v>10154.120000000001</v>
      </c>
      <c r="G94" s="71">
        <f>G89+G92+G93</f>
        <v>11107.06</v>
      </c>
      <c r="H94" s="170">
        <f>H89+H92+H93</f>
        <v>11107.06</v>
      </c>
    </row>
    <row r="95" spans="1:8" s="30" customFormat="1" x14ac:dyDescent="0.25">
      <c r="A95" s="436"/>
      <c r="B95" s="282" t="s">
        <v>41</v>
      </c>
      <c r="C95" s="95"/>
      <c r="D95" s="84">
        <f>D94/C94</f>
        <v>11186.1</v>
      </c>
      <c r="E95" s="84">
        <f>E94/C94</f>
        <v>11841.54</v>
      </c>
      <c r="F95" s="84">
        <f>F94/C94</f>
        <v>11841.54</v>
      </c>
      <c r="G95" s="84">
        <f>G94/C94</f>
        <v>12952.84</v>
      </c>
      <c r="H95" s="66">
        <f>H94/C94</f>
        <v>12952.84</v>
      </c>
    </row>
    <row r="96" spans="1:8" s="30" customFormat="1" x14ac:dyDescent="0.25">
      <c r="A96" s="436"/>
      <c r="B96" s="282" t="s">
        <v>42</v>
      </c>
      <c r="C96" s="72"/>
      <c r="D96" s="94"/>
      <c r="E96" s="94"/>
      <c r="F96" s="94"/>
      <c r="G96" s="94"/>
      <c r="H96" s="177"/>
    </row>
    <row r="97" spans="1:8" s="30" customFormat="1" x14ac:dyDescent="0.25">
      <c r="A97" s="436"/>
      <c r="B97" s="51" t="s">
        <v>130</v>
      </c>
      <c r="C97" s="59">
        <v>1.6500000000000001E-2</v>
      </c>
      <c r="D97" s="71">
        <f>D95*C97</f>
        <v>184.57</v>
      </c>
      <c r="E97" s="71">
        <f>E95*C97</f>
        <v>195.39</v>
      </c>
      <c r="F97" s="71">
        <f>F95*C97</f>
        <v>195.39</v>
      </c>
      <c r="G97" s="71">
        <f>G95*C97</f>
        <v>213.72</v>
      </c>
      <c r="H97" s="170">
        <f>H95*C97</f>
        <v>213.72</v>
      </c>
    </row>
    <row r="98" spans="1:8" s="30" customFormat="1" x14ac:dyDescent="0.25">
      <c r="A98" s="436"/>
      <c r="B98" s="51" t="s">
        <v>131</v>
      </c>
      <c r="C98" s="59">
        <v>7.5999999999999998E-2</v>
      </c>
      <c r="D98" s="71">
        <f>D95*C98</f>
        <v>850.14</v>
      </c>
      <c r="E98" s="71">
        <f>E95*C98</f>
        <v>899.96</v>
      </c>
      <c r="F98" s="71">
        <f>F95*C98</f>
        <v>899.96</v>
      </c>
      <c r="G98" s="71">
        <f>G95*C98</f>
        <v>984.42</v>
      </c>
      <c r="H98" s="170">
        <f>H95*C98</f>
        <v>984.42</v>
      </c>
    </row>
    <row r="99" spans="1:8" s="30" customFormat="1" x14ac:dyDescent="0.25">
      <c r="A99" s="436"/>
      <c r="B99" s="53" t="s">
        <v>43</v>
      </c>
      <c r="C99" s="95"/>
      <c r="D99" s="84"/>
      <c r="E99" s="84"/>
      <c r="F99" s="84"/>
      <c r="G99" s="84"/>
      <c r="H99" s="66"/>
    </row>
    <row r="100" spans="1:8" s="30" customFormat="1" x14ac:dyDescent="0.25">
      <c r="A100" s="436"/>
      <c r="B100" s="53" t="s">
        <v>44</v>
      </c>
      <c r="C100" s="102"/>
      <c r="D100" s="96"/>
      <c r="E100" s="96"/>
      <c r="F100" s="96"/>
      <c r="G100" s="96"/>
      <c r="H100" s="178"/>
    </row>
    <row r="101" spans="1:8" s="30" customFormat="1" x14ac:dyDescent="0.25">
      <c r="A101" s="436"/>
      <c r="B101" s="51" t="s">
        <v>142</v>
      </c>
      <c r="C101" s="59">
        <v>0.05</v>
      </c>
      <c r="D101" s="71">
        <f>D95*C101</f>
        <v>559.30999999999995</v>
      </c>
      <c r="E101" s="71">
        <f>E95*C101</f>
        <v>592.08000000000004</v>
      </c>
      <c r="F101" s="71">
        <f>F95*C101</f>
        <v>592.08000000000004</v>
      </c>
      <c r="G101" s="71">
        <f>G95*C101</f>
        <v>647.64</v>
      </c>
      <c r="H101" s="170">
        <f>H95*C101</f>
        <v>647.64</v>
      </c>
    </row>
    <row r="102" spans="1:8" s="30" customFormat="1" x14ac:dyDescent="0.25">
      <c r="A102" s="281"/>
      <c r="B102" s="106" t="s">
        <v>45</v>
      </c>
      <c r="C102" s="107">
        <f t="shared" ref="C102:D102" si="15">SUM(C97:C101)</f>
        <v>0.14249999999999999</v>
      </c>
      <c r="D102" s="108">
        <f t="shared" si="15"/>
        <v>1594.02</v>
      </c>
      <c r="E102" s="108">
        <f>SUM(E97:E101)</f>
        <v>1687.43</v>
      </c>
      <c r="F102" s="108">
        <f>SUM(F97:F101)</f>
        <v>1687.43</v>
      </c>
      <c r="G102" s="108">
        <f>SUM(G97:G101)</f>
        <v>1845.78</v>
      </c>
      <c r="H102" s="179">
        <f>SUM(H97:H101)</f>
        <v>1845.78</v>
      </c>
    </row>
    <row r="103" spans="1:8" s="30" customFormat="1" ht="15.75" customHeight="1" x14ac:dyDescent="0.25">
      <c r="A103" s="416" t="s">
        <v>46</v>
      </c>
      <c r="B103" s="417"/>
      <c r="C103" s="417"/>
      <c r="D103" s="92">
        <f>SUM(D92:D93)+D102</f>
        <v>2465.5300000000002</v>
      </c>
      <c r="E103" s="92">
        <f>SUM(E92:E93)+E102</f>
        <v>2610.0100000000002</v>
      </c>
      <c r="F103" s="92">
        <f>SUM(F92:F93)+F102</f>
        <v>2610.0100000000002</v>
      </c>
      <c r="G103" s="92">
        <f>SUM(G92:G93)+G102</f>
        <v>2854.94</v>
      </c>
      <c r="H103" s="175">
        <f>SUM(H92:H93)+H102</f>
        <v>2854.94</v>
      </c>
    </row>
    <row r="104" spans="1:8" s="30" customFormat="1" ht="15.75" customHeight="1" x14ac:dyDescent="0.25">
      <c r="A104" s="442" t="s">
        <v>47</v>
      </c>
      <c r="B104" s="443"/>
      <c r="C104" s="443"/>
      <c r="D104" s="76" t="s">
        <v>10</v>
      </c>
      <c r="E104" s="76" t="s">
        <v>10</v>
      </c>
      <c r="F104" s="76" t="s">
        <v>10</v>
      </c>
      <c r="G104" s="76" t="s">
        <v>10</v>
      </c>
      <c r="H104" s="180" t="s">
        <v>10</v>
      </c>
    </row>
    <row r="105" spans="1:8" s="30" customFormat="1" x14ac:dyDescent="0.25">
      <c r="A105" s="50" t="s">
        <v>0</v>
      </c>
      <c r="B105" s="438" t="s">
        <v>48</v>
      </c>
      <c r="C105" s="438"/>
      <c r="D105" s="94">
        <f>D25</f>
        <v>3813.12</v>
      </c>
      <c r="E105" s="94">
        <f>E25</f>
        <v>4337.5600000000004</v>
      </c>
      <c r="F105" s="94">
        <f>F25</f>
        <v>4337.5600000000004</v>
      </c>
      <c r="G105" s="94">
        <f>G25</f>
        <v>3813.12</v>
      </c>
      <c r="H105" s="177">
        <f>H25</f>
        <v>3813.12</v>
      </c>
    </row>
    <row r="106" spans="1:8" s="30" customFormat="1" x14ac:dyDescent="0.25">
      <c r="A106" s="50" t="s">
        <v>2</v>
      </c>
      <c r="B106" s="438" t="s">
        <v>159</v>
      </c>
      <c r="C106" s="438"/>
      <c r="D106" s="94">
        <f>D53</f>
        <v>3013.24</v>
      </c>
      <c r="E106" s="94">
        <f>E53</f>
        <v>3346.56</v>
      </c>
      <c r="F106" s="94">
        <f>F53</f>
        <v>3346.56</v>
      </c>
      <c r="G106" s="94">
        <f>G53</f>
        <v>3013.24</v>
      </c>
      <c r="H106" s="177">
        <f>H53</f>
        <v>3013.24</v>
      </c>
    </row>
    <row r="107" spans="1:8" s="30" customFormat="1" x14ac:dyDescent="0.25">
      <c r="A107" s="50" t="s">
        <v>3</v>
      </c>
      <c r="B107" s="438" t="s">
        <v>157</v>
      </c>
      <c r="C107" s="438"/>
      <c r="D107" s="94">
        <f>D61</f>
        <v>272.63</v>
      </c>
      <c r="E107" s="94">
        <f>E61</f>
        <v>310.14</v>
      </c>
      <c r="F107" s="94">
        <f>F61</f>
        <v>310.14</v>
      </c>
      <c r="G107" s="94">
        <f>G61</f>
        <v>272.63</v>
      </c>
      <c r="H107" s="177">
        <f>H61</f>
        <v>272.63</v>
      </c>
    </row>
    <row r="108" spans="1:8" s="30" customFormat="1" x14ac:dyDescent="0.25">
      <c r="A108" s="50" t="s">
        <v>5</v>
      </c>
      <c r="B108" s="438" t="s">
        <v>150</v>
      </c>
      <c r="C108" s="438"/>
      <c r="D108" s="94">
        <f>D81</f>
        <v>207.65</v>
      </c>
      <c r="E108" s="94">
        <f>E81</f>
        <v>233.7</v>
      </c>
      <c r="F108" s="94">
        <f>F81</f>
        <v>233.7</v>
      </c>
      <c r="G108" s="94">
        <f>G81</f>
        <v>207.65</v>
      </c>
      <c r="H108" s="177">
        <f>H81</f>
        <v>207.65</v>
      </c>
    </row>
    <row r="109" spans="1:8" s="30" customFormat="1" x14ac:dyDescent="0.25">
      <c r="A109" s="50" t="s">
        <v>20</v>
      </c>
      <c r="B109" s="438" t="s">
        <v>158</v>
      </c>
      <c r="C109" s="438"/>
      <c r="D109" s="94">
        <f>D88</f>
        <v>1413.93</v>
      </c>
      <c r="E109" s="94">
        <f>E88</f>
        <v>1003.58</v>
      </c>
      <c r="F109" s="94">
        <f>F88</f>
        <v>1003.58</v>
      </c>
      <c r="G109" s="94">
        <f>G88</f>
        <v>2791.26</v>
      </c>
      <c r="H109" s="177">
        <f>H88</f>
        <v>2791.26</v>
      </c>
    </row>
    <row r="110" spans="1:8" s="30" customFormat="1" ht="15.75" customHeight="1" x14ac:dyDescent="0.25">
      <c r="A110" s="436" t="s">
        <v>160</v>
      </c>
      <c r="B110" s="437"/>
      <c r="C110" s="437"/>
      <c r="D110" s="74">
        <f>SUM(D105:D109)</f>
        <v>8720.57</v>
      </c>
      <c r="E110" s="74">
        <f>SUM(E105:E109)</f>
        <v>9231.5400000000009</v>
      </c>
      <c r="F110" s="74">
        <f>SUM(F105:F109)</f>
        <v>9231.5400000000009</v>
      </c>
      <c r="G110" s="74">
        <f>SUM(G105:G109)</f>
        <v>10097.9</v>
      </c>
      <c r="H110" s="165">
        <f>SUM(H105:H109)</f>
        <v>10097.9</v>
      </c>
    </row>
    <row r="111" spans="1:8" s="30" customFormat="1" x14ac:dyDescent="0.25">
      <c r="A111" s="281" t="s">
        <v>20</v>
      </c>
      <c r="B111" s="438" t="s">
        <v>161</v>
      </c>
      <c r="C111" s="438"/>
      <c r="D111" s="94">
        <f>D103</f>
        <v>2465.5300000000002</v>
      </c>
      <c r="E111" s="94">
        <f>E103</f>
        <v>2610.0100000000002</v>
      </c>
      <c r="F111" s="94">
        <f>F103</f>
        <v>2610.0100000000002</v>
      </c>
      <c r="G111" s="94">
        <f>G103</f>
        <v>2854.94</v>
      </c>
      <c r="H111" s="177">
        <f>H103</f>
        <v>2854.94</v>
      </c>
    </row>
    <row r="112" spans="1:8" s="30" customFormat="1" ht="16.5" customHeight="1" thickBot="1" x14ac:dyDescent="0.3">
      <c r="A112" s="439" t="s">
        <v>49</v>
      </c>
      <c r="B112" s="440"/>
      <c r="C112" s="440"/>
      <c r="D112" s="110">
        <f>SUM(D110:D111)</f>
        <v>11186.1</v>
      </c>
      <c r="E112" s="110">
        <f>SUM(E110:E111)</f>
        <v>11841.55</v>
      </c>
      <c r="F112" s="110">
        <f>SUM(F110:F111)</f>
        <v>11841.55</v>
      </c>
      <c r="G112" s="110">
        <f>SUM(G110:G111)</f>
        <v>12952.84</v>
      </c>
      <c r="H112" s="181">
        <f>SUM(H110:H111)</f>
        <v>12952.84</v>
      </c>
    </row>
    <row r="113" spans="2:8" x14ac:dyDescent="0.25">
      <c r="C113" s="31"/>
      <c r="D113" s="31"/>
      <c r="E113" s="31"/>
      <c r="F113" s="31"/>
      <c r="G113" s="31"/>
      <c r="H113" s="31"/>
    </row>
    <row r="114" spans="2:8" x14ac:dyDescent="0.25">
      <c r="B114" s="28"/>
      <c r="C114" s="31"/>
      <c r="D114" s="31"/>
      <c r="E114" s="31"/>
      <c r="F114" s="31"/>
      <c r="G114" s="31"/>
      <c r="H114" s="31"/>
    </row>
    <row r="115" spans="2:8" x14ac:dyDescent="0.25">
      <c r="B115" s="28"/>
      <c r="C115" s="31"/>
      <c r="D115" s="31"/>
      <c r="E115" s="31"/>
      <c r="F115" s="31"/>
      <c r="G115" s="31"/>
      <c r="H115" s="31"/>
    </row>
    <row r="116" spans="2:8" x14ac:dyDescent="0.25">
      <c r="B116" s="28"/>
      <c r="C116" s="441"/>
      <c r="D116" s="441"/>
      <c r="E116" s="441"/>
      <c r="F116" s="441"/>
      <c r="G116" s="441"/>
      <c r="H116" s="441"/>
    </row>
    <row r="117" spans="2:8" x14ac:dyDescent="0.25">
      <c r="B117" s="28"/>
      <c r="C117" s="31"/>
      <c r="D117" s="31"/>
      <c r="E117" s="31"/>
      <c r="F117" s="31"/>
      <c r="G117" s="31"/>
      <c r="H117" s="31"/>
    </row>
    <row r="119" spans="2:8" x14ac:dyDescent="0.25">
      <c r="B119" s="36"/>
    </row>
    <row r="124" spans="2:8" x14ac:dyDescent="0.25">
      <c r="B124" s="28"/>
    </row>
  </sheetData>
  <mergeCells count="65">
    <mergeCell ref="A110:C110"/>
    <mergeCell ref="B111:C111"/>
    <mergeCell ref="A112:C112"/>
    <mergeCell ref="C116:H116"/>
    <mergeCell ref="A104:C104"/>
    <mergeCell ref="B105:C105"/>
    <mergeCell ref="B106:C106"/>
    <mergeCell ref="B107:C107"/>
    <mergeCell ref="B108:C108"/>
    <mergeCell ref="B109:C109"/>
    <mergeCell ref="A103:C103"/>
    <mergeCell ref="B83:C83"/>
    <mergeCell ref="B84:C84"/>
    <mergeCell ref="B85:C85"/>
    <mergeCell ref="B86:C86"/>
    <mergeCell ref="B87:C87"/>
    <mergeCell ref="A88:C88"/>
    <mergeCell ref="A89:C89"/>
    <mergeCell ref="B91:C91"/>
    <mergeCell ref="A94:A101"/>
    <mergeCell ref="A82:C82"/>
    <mergeCell ref="A90:C90"/>
    <mergeCell ref="A81:C81"/>
    <mergeCell ref="B55:C55"/>
    <mergeCell ref="A61:C61"/>
    <mergeCell ref="B63:C63"/>
    <mergeCell ref="A70:B70"/>
    <mergeCell ref="B72:C72"/>
    <mergeCell ref="A74:B74"/>
    <mergeCell ref="B77:C77"/>
    <mergeCell ref="A80:B80"/>
    <mergeCell ref="A62:C62"/>
    <mergeCell ref="A75:C75"/>
    <mergeCell ref="A76:C76"/>
    <mergeCell ref="A49:C49"/>
    <mergeCell ref="A25:C25"/>
    <mergeCell ref="B27:C27"/>
    <mergeCell ref="A30:B30"/>
    <mergeCell ref="B32:C32"/>
    <mergeCell ref="A41:B41"/>
    <mergeCell ref="A31:H31"/>
    <mergeCell ref="A54:C54"/>
    <mergeCell ref="B17:C17"/>
    <mergeCell ref="C7:H7"/>
    <mergeCell ref="A8:H8"/>
    <mergeCell ref="A9:H9"/>
    <mergeCell ref="A10:H10"/>
    <mergeCell ref="A11:C11"/>
    <mergeCell ref="C12:H12"/>
    <mergeCell ref="C14:H14"/>
    <mergeCell ref="C15:H15"/>
    <mergeCell ref="A16:C16"/>
    <mergeCell ref="D11:H11"/>
    <mergeCell ref="B42:C42"/>
    <mergeCell ref="A48:C48"/>
    <mergeCell ref="A53:C53"/>
    <mergeCell ref="A26:C26"/>
    <mergeCell ref="C13:E13"/>
    <mergeCell ref="F13:H13"/>
    <mergeCell ref="C6:H6"/>
    <mergeCell ref="A1:H1"/>
    <mergeCell ref="A2:H2"/>
    <mergeCell ref="A3:H3"/>
    <mergeCell ref="C4:H4"/>
    <mergeCell ref="C5:H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F125"/>
  <sheetViews>
    <sheetView view="pageBreakPreview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6" width="15.7109375" style="32" customWidth="1"/>
    <col min="7" max="7" width="9.140625" style="28" customWidth="1"/>
    <col min="8" max="16384" width="9.140625" style="28"/>
  </cols>
  <sheetData>
    <row r="1" spans="1:6" x14ac:dyDescent="0.25">
      <c r="A1" s="393"/>
      <c r="B1" s="394"/>
      <c r="C1" s="394"/>
      <c r="D1" s="445"/>
      <c r="E1" s="445"/>
      <c r="F1" s="395"/>
    </row>
    <row r="2" spans="1:6" s="38" customFormat="1" ht="16.5" customHeight="1" x14ac:dyDescent="0.25">
      <c r="A2" s="396" t="s">
        <v>132</v>
      </c>
      <c r="B2" s="397"/>
      <c r="C2" s="397"/>
      <c r="D2" s="446"/>
      <c r="E2" s="446"/>
      <c r="F2" s="398"/>
    </row>
    <row r="3" spans="1:6" s="38" customFormat="1" x14ac:dyDescent="0.25">
      <c r="A3" s="399" t="s">
        <v>129</v>
      </c>
      <c r="B3" s="400"/>
      <c r="C3" s="400"/>
      <c r="D3" s="447"/>
      <c r="E3" s="447"/>
      <c r="F3" s="401"/>
    </row>
    <row r="4" spans="1:6" s="38" customFormat="1" ht="15" customHeight="1" x14ac:dyDescent="0.25">
      <c r="A4" s="40" t="s">
        <v>0</v>
      </c>
      <c r="B4" s="41" t="s">
        <v>1</v>
      </c>
      <c r="C4" s="402">
        <v>2024</v>
      </c>
      <c r="D4" s="402"/>
      <c r="E4" s="402"/>
      <c r="F4" s="403"/>
    </row>
    <row r="5" spans="1:6" s="38" customFormat="1" ht="75" customHeight="1" x14ac:dyDescent="0.25">
      <c r="A5" s="40" t="s">
        <v>2</v>
      </c>
      <c r="B5" s="41" t="s">
        <v>140</v>
      </c>
      <c r="C5" s="391" t="s">
        <v>268</v>
      </c>
      <c r="D5" s="391"/>
      <c r="E5" s="391"/>
      <c r="F5" s="392"/>
    </row>
    <row r="6" spans="1:6" s="38" customFormat="1" ht="15.75" customHeight="1" x14ac:dyDescent="0.25">
      <c r="A6" s="40" t="s">
        <v>3</v>
      </c>
      <c r="B6" s="41" t="s">
        <v>4</v>
      </c>
      <c r="C6" s="391" t="s">
        <v>284</v>
      </c>
      <c r="D6" s="391"/>
      <c r="E6" s="391"/>
      <c r="F6" s="392"/>
    </row>
    <row r="7" spans="1:6" s="38" customFormat="1" x14ac:dyDescent="0.25">
      <c r="A7" s="40" t="s">
        <v>5</v>
      </c>
      <c r="B7" s="41" t="s">
        <v>143</v>
      </c>
      <c r="C7" s="391">
        <v>12</v>
      </c>
      <c r="D7" s="391"/>
      <c r="E7" s="391"/>
      <c r="F7" s="392"/>
    </row>
    <row r="8" spans="1:6" s="38" customFormat="1" x14ac:dyDescent="0.25">
      <c r="A8" s="399" t="s">
        <v>6</v>
      </c>
      <c r="B8" s="400"/>
      <c r="C8" s="400"/>
      <c r="D8" s="447"/>
      <c r="E8" s="447"/>
      <c r="F8" s="401"/>
    </row>
    <row r="9" spans="1:6" s="38" customFormat="1" x14ac:dyDescent="0.25">
      <c r="A9" s="399" t="s">
        <v>7</v>
      </c>
      <c r="B9" s="400"/>
      <c r="C9" s="400"/>
      <c r="D9" s="447"/>
      <c r="E9" s="447"/>
      <c r="F9" s="401"/>
    </row>
    <row r="10" spans="1:6" s="38" customFormat="1" ht="15.75" customHeight="1" x14ac:dyDescent="0.25">
      <c r="A10" s="399" t="s">
        <v>8</v>
      </c>
      <c r="B10" s="400"/>
      <c r="C10" s="400"/>
      <c r="D10" s="447"/>
      <c r="E10" s="447"/>
      <c r="F10" s="401"/>
    </row>
    <row r="11" spans="1:6" s="38" customFormat="1" ht="30" customHeight="1" x14ac:dyDescent="0.25">
      <c r="A11" s="407" t="s">
        <v>9</v>
      </c>
      <c r="B11" s="408"/>
      <c r="C11" s="408"/>
      <c r="D11" s="449" t="s">
        <v>10</v>
      </c>
      <c r="E11" s="450"/>
      <c r="F11" s="451"/>
    </row>
    <row r="12" spans="1:6" s="38" customFormat="1" ht="45" customHeight="1" x14ac:dyDescent="0.25">
      <c r="A12" s="40">
        <v>1</v>
      </c>
      <c r="B12" s="42" t="s">
        <v>133</v>
      </c>
      <c r="C12" s="409" t="s">
        <v>269</v>
      </c>
      <c r="D12" s="448"/>
      <c r="E12" s="448"/>
      <c r="F12" s="410"/>
    </row>
    <row r="13" spans="1:6" s="38" customFormat="1" ht="30" customHeight="1" x14ac:dyDescent="0.25">
      <c r="A13" s="40">
        <v>2</v>
      </c>
      <c r="B13" s="42" t="s">
        <v>11</v>
      </c>
      <c r="C13" s="444">
        <v>3248.32</v>
      </c>
      <c r="D13" s="444"/>
      <c r="E13" s="389">
        <v>3772.76</v>
      </c>
      <c r="F13" s="390"/>
    </row>
    <row r="14" spans="1:6" s="38" customFormat="1" ht="15.75" customHeight="1" x14ac:dyDescent="0.25">
      <c r="A14" s="40">
        <v>3</v>
      </c>
      <c r="B14" s="42" t="s">
        <v>12</v>
      </c>
      <c r="C14" s="409" t="s">
        <v>270</v>
      </c>
      <c r="D14" s="409"/>
      <c r="E14" s="409"/>
      <c r="F14" s="410"/>
    </row>
    <row r="15" spans="1:6" s="38" customFormat="1" x14ac:dyDescent="0.25">
      <c r="A15" s="40">
        <v>4</v>
      </c>
      <c r="B15" s="43" t="s">
        <v>13</v>
      </c>
      <c r="C15" s="411">
        <v>2024</v>
      </c>
      <c r="D15" s="411"/>
      <c r="E15" s="411"/>
      <c r="F15" s="412"/>
    </row>
    <row r="16" spans="1:6" s="39" customFormat="1" ht="15.75" customHeight="1" x14ac:dyDescent="0.25">
      <c r="A16" s="404" t="s">
        <v>14</v>
      </c>
      <c r="B16" s="405"/>
      <c r="C16" s="405"/>
      <c r="D16" s="252" t="s">
        <v>265</v>
      </c>
      <c r="E16" s="311" t="s">
        <v>304</v>
      </c>
      <c r="F16" s="312" t="s">
        <v>305</v>
      </c>
    </row>
    <row r="17" spans="1:6" s="39" customFormat="1" x14ac:dyDescent="0.25">
      <c r="A17" s="254">
        <v>1</v>
      </c>
      <c r="B17" s="406" t="s">
        <v>15</v>
      </c>
      <c r="C17" s="406"/>
      <c r="D17" s="61" t="s">
        <v>10</v>
      </c>
      <c r="E17" s="61" t="s">
        <v>10</v>
      </c>
      <c r="F17" s="62" t="s">
        <v>10</v>
      </c>
    </row>
    <row r="18" spans="1:6" s="38" customFormat="1" ht="15.75" customHeight="1" x14ac:dyDescent="0.25">
      <c r="A18" s="45" t="s">
        <v>0</v>
      </c>
      <c r="B18" s="46" t="s">
        <v>16</v>
      </c>
      <c r="C18" s="43"/>
      <c r="D18" s="81">
        <f>C13</f>
        <v>3248.32</v>
      </c>
      <c r="E18" s="69">
        <f>E13</f>
        <v>3772.76</v>
      </c>
      <c r="F18" s="176">
        <f>E13</f>
        <v>3772.76</v>
      </c>
    </row>
    <row r="19" spans="1:6" s="38" customFormat="1" ht="15.75" customHeight="1" x14ac:dyDescent="0.25">
      <c r="A19" s="45" t="s">
        <v>2</v>
      </c>
      <c r="B19" s="46" t="s">
        <v>17</v>
      </c>
      <c r="C19" s="82"/>
      <c r="D19" s="83"/>
      <c r="E19" s="83"/>
      <c r="F19" s="64"/>
    </row>
    <row r="20" spans="1:6" s="38" customFormat="1" ht="15.75" customHeight="1" x14ac:dyDescent="0.25">
      <c r="A20" s="45" t="s">
        <v>3</v>
      </c>
      <c r="B20" s="46" t="s">
        <v>18</v>
      </c>
      <c r="C20" s="115" t="s">
        <v>244</v>
      </c>
      <c r="D20" s="83">
        <f>40%*1412</f>
        <v>564.79999999999995</v>
      </c>
      <c r="E20" s="83">
        <f>40%*1412</f>
        <v>564.79999999999995</v>
      </c>
      <c r="F20" s="64">
        <f>40%*1412</f>
        <v>564.79999999999995</v>
      </c>
    </row>
    <row r="21" spans="1:6" s="38" customFormat="1" ht="15.75" customHeight="1" x14ac:dyDescent="0.25">
      <c r="A21" s="45" t="s">
        <v>5</v>
      </c>
      <c r="B21" s="46" t="s">
        <v>19</v>
      </c>
      <c r="C21" s="82"/>
      <c r="D21" s="83">
        <f>((((D18+D20)/220)*20%)*8)*15.21</f>
        <v>421.8</v>
      </c>
      <c r="E21" s="83">
        <f>((((E18+E20)/220)*20%)*8)*15.21</f>
        <v>479.81</v>
      </c>
      <c r="F21" s="64">
        <f>((((F18+F20)/220)*20%)*8)*15.21</f>
        <v>479.81</v>
      </c>
    </row>
    <row r="22" spans="1:6" s="38" customFormat="1" ht="15.75" customHeight="1" x14ac:dyDescent="0.25">
      <c r="A22" s="45" t="s">
        <v>20</v>
      </c>
      <c r="B22" s="46" t="s">
        <v>203</v>
      </c>
      <c r="C22" s="82"/>
      <c r="D22" s="83"/>
      <c r="E22" s="83"/>
      <c r="F22" s="64"/>
    </row>
    <row r="23" spans="1:6" s="38" customFormat="1" x14ac:dyDescent="0.25">
      <c r="A23" s="45" t="s">
        <v>21</v>
      </c>
      <c r="B23" s="46" t="s">
        <v>138</v>
      </c>
      <c r="C23" s="49"/>
      <c r="D23" s="83"/>
      <c r="E23" s="83"/>
      <c r="F23" s="64"/>
    </row>
    <row r="24" spans="1:6" s="38" customFormat="1" ht="15.75" customHeight="1" x14ac:dyDescent="0.25">
      <c r="A24" s="45" t="s">
        <v>22</v>
      </c>
      <c r="B24" s="47" t="s">
        <v>139</v>
      </c>
      <c r="C24" s="49"/>
      <c r="D24" s="83"/>
      <c r="E24" s="83"/>
      <c r="F24" s="64"/>
    </row>
    <row r="25" spans="1:6" s="39" customFormat="1" ht="15.75" customHeight="1" x14ac:dyDescent="0.25">
      <c r="A25" s="418" t="s">
        <v>152</v>
      </c>
      <c r="B25" s="419"/>
      <c r="C25" s="419"/>
      <c r="D25" s="70">
        <f>SUM(D18:D24)</f>
        <v>4234.92</v>
      </c>
      <c r="E25" s="70">
        <f>SUM(E18:E24)</f>
        <v>4817.37</v>
      </c>
      <c r="F25" s="65">
        <f>SUM(F18:F24)</f>
        <v>4817.37</v>
      </c>
    </row>
    <row r="26" spans="1:6" s="39" customFormat="1" x14ac:dyDescent="0.25">
      <c r="A26" s="459" t="s">
        <v>51</v>
      </c>
      <c r="B26" s="460"/>
      <c r="C26" s="461"/>
      <c r="D26" s="296"/>
      <c r="E26" s="296"/>
      <c r="F26" s="297"/>
    </row>
    <row r="27" spans="1:6" s="38" customFormat="1" x14ac:dyDescent="0.25">
      <c r="A27" s="249" t="s">
        <v>141</v>
      </c>
      <c r="B27" s="420" t="s">
        <v>204</v>
      </c>
      <c r="C27" s="421"/>
      <c r="D27" s="74" t="s">
        <v>10</v>
      </c>
      <c r="E27" s="74" t="s">
        <v>10</v>
      </c>
      <c r="F27" s="165" t="s">
        <v>10</v>
      </c>
    </row>
    <row r="28" spans="1:6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352.77</v>
      </c>
      <c r="E28" s="84">
        <f>(E25)*C28</f>
        <v>401.29</v>
      </c>
      <c r="F28" s="66">
        <f>(F25)*C28</f>
        <v>401.29</v>
      </c>
    </row>
    <row r="29" spans="1:6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470.5</v>
      </c>
      <c r="E29" s="84">
        <f>(E25)*C29</f>
        <v>535.21</v>
      </c>
      <c r="F29" s="66">
        <f>(F25)*C29</f>
        <v>535.21</v>
      </c>
    </row>
    <row r="30" spans="1:6" x14ac:dyDescent="0.25">
      <c r="A30" s="416" t="s">
        <v>27</v>
      </c>
      <c r="B30" s="417"/>
      <c r="C30" s="99">
        <f>SUM(C28:C29)</f>
        <v>0.19439999999999999</v>
      </c>
      <c r="D30" s="86">
        <f>SUM(D28:D29)</f>
        <v>823.27</v>
      </c>
      <c r="E30" s="86">
        <f>SUM(E28:E29)</f>
        <v>936.5</v>
      </c>
      <c r="F30" s="67">
        <f>SUM(F28:F29)</f>
        <v>936.5</v>
      </c>
    </row>
    <row r="31" spans="1:6" ht="32.25" customHeight="1" x14ac:dyDescent="0.25">
      <c r="A31" s="424" t="s">
        <v>189</v>
      </c>
      <c r="B31" s="425"/>
      <c r="C31" s="425"/>
      <c r="D31" s="425"/>
      <c r="E31" s="425"/>
      <c r="F31" s="426"/>
    </row>
    <row r="32" spans="1:6" x14ac:dyDescent="0.25">
      <c r="A32" s="251" t="s">
        <v>141</v>
      </c>
      <c r="B32" s="422" t="s">
        <v>25</v>
      </c>
      <c r="C32" s="423"/>
      <c r="D32" s="75" t="s">
        <v>10</v>
      </c>
      <c r="E32" s="75" t="s">
        <v>10</v>
      </c>
      <c r="F32" s="159" t="s">
        <v>10</v>
      </c>
    </row>
    <row r="33" spans="1:6" x14ac:dyDescent="0.25">
      <c r="A33" s="50" t="s">
        <v>0</v>
      </c>
      <c r="B33" s="87" t="s">
        <v>206</v>
      </c>
      <c r="C33" s="59">
        <v>0.2</v>
      </c>
      <c r="D33" s="84">
        <f>(D25+D$30)*C33</f>
        <v>1011.64</v>
      </c>
      <c r="E33" s="84">
        <f>(E25+E$30)*C33</f>
        <v>1150.77</v>
      </c>
      <c r="F33" s="66">
        <f>(F25+F$30)*C33</f>
        <v>1150.77</v>
      </c>
    </row>
    <row r="34" spans="1:6" x14ac:dyDescent="0.25">
      <c r="A34" s="50" t="s">
        <v>2</v>
      </c>
      <c r="B34" s="87" t="s">
        <v>207</v>
      </c>
      <c r="C34" s="88">
        <v>1.4999999999999999E-2</v>
      </c>
      <c r="D34" s="84">
        <f>(D25+D$30)*C34</f>
        <v>75.87</v>
      </c>
      <c r="E34" s="84">
        <f>(E25+E$30)*C34</f>
        <v>86.31</v>
      </c>
      <c r="F34" s="66">
        <f>(F25+F$30)*C34</f>
        <v>86.31</v>
      </c>
    </row>
    <row r="35" spans="1:6" x14ac:dyDescent="0.25">
      <c r="A35" s="50" t="s">
        <v>3</v>
      </c>
      <c r="B35" s="87" t="s">
        <v>208</v>
      </c>
      <c r="C35" s="88">
        <v>0.01</v>
      </c>
      <c r="D35" s="84">
        <f>(D25+D$30)*C35</f>
        <v>50.58</v>
      </c>
      <c r="E35" s="84">
        <f>(E25+E$30)*C35</f>
        <v>57.54</v>
      </c>
      <c r="F35" s="66">
        <f>(F25+F$30)*C35</f>
        <v>57.54</v>
      </c>
    </row>
    <row r="36" spans="1:6" ht="31.5" x14ac:dyDescent="0.25">
      <c r="A36" s="50" t="s">
        <v>5</v>
      </c>
      <c r="B36" s="253" t="s">
        <v>209</v>
      </c>
      <c r="C36" s="88">
        <v>2E-3</v>
      </c>
      <c r="D36" s="84">
        <f>(D25+D$30)*C36</f>
        <v>10.119999999999999</v>
      </c>
      <c r="E36" s="84">
        <f>(E25+E$30)*C36</f>
        <v>11.51</v>
      </c>
      <c r="F36" s="66">
        <f>(F25+F$30)*C36</f>
        <v>11.51</v>
      </c>
    </row>
    <row r="37" spans="1:6" x14ac:dyDescent="0.25">
      <c r="A37" s="50" t="s">
        <v>20</v>
      </c>
      <c r="B37" s="87" t="s">
        <v>210</v>
      </c>
      <c r="C37" s="88">
        <v>2.5000000000000001E-2</v>
      </c>
      <c r="D37" s="84">
        <f>(D25+D$30)*C37</f>
        <v>126.45</v>
      </c>
      <c r="E37" s="84">
        <f>(E25+E$30)*C37</f>
        <v>143.85</v>
      </c>
      <c r="F37" s="66">
        <f>(F25+F$30)*C37</f>
        <v>143.85</v>
      </c>
    </row>
    <row r="38" spans="1:6" x14ac:dyDescent="0.25">
      <c r="A38" s="50" t="s">
        <v>21</v>
      </c>
      <c r="B38" s="114" t="s">
        <v>211</v>
      </c>
      <c r="C38" s="88">
        <v>0.08</v>
      </c>
      <c r="D38" s="84">
        <f>(D25+D$30)*C38</f>
        <v>404.66</v>
      </c>
      <c r="E38" s="84">
        <f>(E25+E$30)*C38</f>
        <v>460.31</v>
      </c>
      <c r="F38" s="66">
        <f>(F25+F$30)*C38</f>
        <v>460.31</v>
      </c>
    </row>
    <row r="39" spans="1:6" ht="47.25" x14ac:dyDescent="0.25">
      <c r="A39" s="50" t="s">
        <v>22</v>
      </c>
      <c r="B39" s="253" t="s">
        <v>212</v>
      </c>
      <c r="C39" s="88">
        <v>0.03</v>
      </c>
      <c r="D39" s="84">
        <f>(D25+D$30)*C39</f>
        <v>151.75</v>
      </c>
      <c r="E39" s="84">
        <f>(E25+E$30)*C39</f>
        <v>172.62</v>
      </c>
      <c r="F39" s="66">
        <f>(F25+F$30)*C39</f>
        <v>172.62</v>
      </c>
    </row>
    <row r="40" spans="1:6" x14ac:dyDescent="0.25">
      <c r="A40" s="50" t="s">
        <v>26</v>
      </c>
      <c r="B40" s="113" t="s">
        <v>213</v>
      </c>
      <c r="C40" s="88">
        <v>6.0000000000000001E-3</v>
      </c>
      <c r="D40" s="84">
        <f>(D25+D$30)*C40</f>
        <v>30.35</v>
      </c>
      <c r="E40" s="84">
        <f>(E25+E$30)*C40</f>
        <v>34.520000000000003</v>
      </c>
      <c r="F40" s="66">
        <f>(F25+F$30)*C40</f>
        <v>34.520000000000003</v>
      </c>
    </row>
    <row r="41" spans="1:6" s="30" customFormat="1" x14ac:dyDescent="0.25">
      <c r="A41" s="416" t="s">
        <v>27</v>
      </c>
      <c r="B41" s="417"/>
      <c r="C41" s="60">
        <f>SUM(C33:C40)</f>
        <v>0.36799999999999999</v>
      </c>
      <c r="D41" s="86">
        <f>SUM(D33:D40)</f>
        <v>1861.42</v>
      </c>
      <c r="E41" s="86">
        <f>SUM(E33:E40)</f>
        <v>2117.4299999999998</v>
      </c>
      <c r="F41" s="67">
        <f>SUM(F33:F40)</f>
        <v>2117.4299999999998</v>
      </c>
    </row>
    <row r="42" spans="1:6" s="30" customFormat="1" x14ac:dyDescent="0.25">
      <c r="A42" s="462" t="s">
        <v>173</v>
      </c>
      <c r="B42" s="463"/>
      <c r="C42" s="464"/>
      <c r="D42" s="299"/>
      <c r="E42" s="299"/>
      <c r="F42" s="300"/>
    </row>
    <row r="43" spans="1:6" s="30" customFormat="1" x14ac:dyDescent="0.25">
      <c r="A43" s="80" t="s">
        <v>215</v>
      </c>
      <c r="B43" s="414" t="s">
        <v>216</v>
      </c>
      <c r="C43" s="415"/>
      <c r="D43" s="111" t="s">
        <v>10</v>
      </c>
      <c r="E43" s="111" t="s">
        <v>10</v>
      </c>
      <c r="F43" s="174" t="s">
        <v>10</v>
      </c>
    </row>
    <row r="44" spans="1:6" s="30" customFormat="1" x14ac:dyDescent="0.25">
      <c r="A44" s="98" t="s">
        <v>0</v>
      </c>
      <c r="B44" s="56" t="s">
        <v>144</v>
      </c>
      <c r="C44" s="112"/>
      <c r="D44" s="160">
        <v>0</v>
      </c>
      <c r="E44" s="160">
        <v>0</v>
      </c>
      <c r="F44" s="256">
        <v>0</v>
      </c>
    </row>
    <row r="45" spans="1:6" s="30" customFormat="1" x14ac:dyDescent="0.25">
      <c r="A45" s="48" t="s">
        <v>2</v>
      </c>
      <c r="B45" s="47" t="s">
        <v>190</v>
      </c>
      <c r="C45" s="79">
        <v>581.85</v>
      </c>
      <c r="D45" s="81">
        <f>C45-(C45*0.99%)</f>
        <v>576.09</v>
      </c>
      <c r="E45" s="81">
        <f>C45-(C45*0.99%)</f>
        <v>576.09</v>
      </c>
      <c r="F45" s="63">
        <f>C45-(C45*0.99%)</f>
        <v>576.09</v>
      </c>
    </row>
    <row r="46" spans="1:6" s="30" customFormat="1" x14ac:dyDescent="0.25">
      <c r="A46" s="50" t="s">
        <v>3</v>
      </c>
      <c r="B46" s="51" t="s">
        <v>134</v>
      </c>
      <c r="C46" s="71"/>
      <c r="D46" s="91">
        <v>0</v>
      </c>
      <c r="E46" s="91">
        <v>0</v>
      </c>
      <c r="F46" s="68">
        <v>0</v>
      </c>
    </row>
    <row r="47" spans="1:6" s="30" customFormat="1" x14ac:dyDescent="0.25">
      <c r="A47" s="50" t="s">
        <v>5</v>
      </c>
      <c r="B47" s="51" t="s">
        <v>135</v>
      </c>
      <c r="C47" s="59">
        <v>0.5</v>
      </c>
      <c r="D47" s="91">
        <f>(D18*C47*0.0199*2)/12</f>
        <v>5.39</v>
      </c>
      <c r="E47" s="91">
        <f>(E18*C47*0.0199*2)/12</f>
        <v>6.26</v>
      </c>
      <c r="F47" s="68">
        <f>(F18*C47*0.0199*2)/12</f>
        <v>6.26</v>
      </c>
    </row>
    <row r="48" spans="1:6" s="30" customFormat="1" x14ac:dyDescent="0.25">
      <c r="A48" s="50" t="s">
        <v>20</v>
      </c>
      <c r="B48" s="51" t="s">
        <v>136</v>
      </c>
      <c r="C48" s="71">
        <v>34733.21</v>
      </c>
      <c r="D48" s="84">
        <f>(C48*0.5%)/12</f>
        <v>14.47</v>
      </c>
      <c r="E48" s="84">
        <f>(C48*0.5%)/12</f>
        <v>14.47</v>
      </c>
      <c r="F48" s="66">
        <f>(C48*0.5%)/12</f>
        <v>14.47</v>
      </c>
    </row>
    <row r="49" spans="1:6" s="30" customFormat="1" ht="15.75" customHeight="1" x14ac:dyDescent="0.25">
      <c r="A49" s="416" t="s">
        <v>23</v>
      </c>
      <c r="B49" s="417"/>
      <c r="C49" s="417"/>
      <c r="D49" s="86">
        <f>SUM(D44:D48)</f>
        <v>595.95000000000005</v>
      </c>
      <c r="E49" s="86">
        <f>SUM(E44:E48)</f>
        <v>596.82000000000005</v>
      </c>
      <c r="F49" s="67">
        <f>SUM(F44:F48)</f>
        <v>596.82000000000005</v>
      </c>
    </row>
    <row r="50" spans="1:6" s="30" customFormat="1" ht="15.75" customHeight="1" x14ac:dyDescent="0.25">
      <c r="A50" s="462" t="s">
        <v>223</v>
      </c>
      <c r="B50" s="463"/>
      <c r="C50" s="464"/>
      <c r="D50" s="299"/>
      <c r="E50" s="299"/>
      <c r="F50" s="300"/>
    </row>
    <row r="51" spans="1:6" s="30" customFormat="1" ht="15.75" customHeight="1" x14ac:dyDescent="0.25">
      <c r="A51" s="254" t="s">
        <v>141</v>
      </c>
      <c r="B51" s="109" t="s">
        <v>145</v>
      </c>
      <c r="C51" s="255"/>
      <c r="D51" s="69">
        <f>D30</f>
        <v>823.27</v>
      </c>
      <c r="E51" s="69">
        <f>E30</f>
        <v>936.5</v>
      </c>
      <c r="F51" s="176">
        <f>F30</f>
        <v>936.5</v>
      </c>
    </row>
    <row r="52" spans="1:6" s="30" customFormat="1" ht="15.75" customHeight="1" x14ac:dyDescent="0.25">
      <c r="A52" s="254" t="s">
        <v>214</v>
      </c>
      <c r="B52" s="109" t="s">
        <v>146</v>
      </c>
      <c r="C52" s="255"/>
      <c r="D52" s="69">
        <f>D41</f>
        <v>1861.42</v>
      </c>
      <c r="E52" s="69">
        <f>E41</f>
        <v>2117.4299999999998</v>
      </c>
      <c r="F52" s="176">
        <f>F41</f>
        <v>2117.4299999999998</v>
      </c>
    </row>
    <row r="53" spans="1:6" s="30" customFormat="1" ht="15.75" customHeight="1" x14ac:dyDescent="0.25">
      <c r="A53" s="254" t="s">
        <v>215</v>
      </c>
      <c r="B53" s="109" t="s">
        <v>147</v>
      </c>
      <c r="C53" s="255"/>
      <c r="D53" s="69">
        <f>D49</f>
        <v>595.95000000000005</v>
      </c>
      <c r="E53" s="69">
        <f>E49</f>
        <v>596.82000000000005</v>
      </c>
      <c r="F53" s="176">
        <f>F49</f>
        <v>596.82000000000005</v>
      </c>
    </row>
    <row r="54" spans="1:6" s="30" customFormat="1" ht="15.75" customHeight="1" x14ac:dyDescent="0.25">
      <c r="A54" s="418" t="s">
        <v>153</v>
      </c>
      <c r="B54" s="419"/>
      <c r="C54" s="419"/>
      <c r="D54" s="70">
        <f>SUM(D51:D53)</f>
        <v>3280.64</v>
      </c>
      <c r="E54" s="70">
        <f>SUM(E51:E53)</f>
        <v>3650.75</v>
      </c>
      <c r="F54" s="65">
        <f>SUM(F51:F53)</f>
        <v>3650.75</v>
      </c>
    </row>
    <row r="55" spans="1:6" s="30" customFormat="1" ht="15.75" customHeight="1" x14ac:dyDescent="0.25">
      <c r="A55" s="459" t="s">
        <v>162</v>
      </c>
      <c r="B55" s="460"/>
      <c r="C55" s="461"/>
      <c r="D55" s="296"/>
      <c r="E55" s="296"/>
      <c r="F55" s="297"/>
    </row>
    <row r="56" spans="1:6" s="30" customFormat="1" ht="15.75" customHeight="1" x14ac:dyDescent="0.25">
      <c r="A56" s="249" t="s">
        <v>199</v>
      </c>
      <c r="B56" s="420" t="s">
        <v>32</v>
      </c>
      <c r="C56" s="429"/>
      <c r="D56" s="74" t="s">
        <v>10</v>
      </c>
      <c r="E56" s="74" t="s">
        <v>10</v>
      </c>
      <c r="F56" s="165" t="s">
        <v>10</v>
      </c>
    </row>
    <row r="57" spans="1:6" s="30" customFormat="1" ht="15.75" customHeight="1" x14ac:dyDescent="0.25">
      <c r="A57" s="50" t="s">
        <v>0</v>
      </c>
      <c r="B57" s="51" t="s">
        <v>33</v>
      </c>
      <c r="C57" s="59">
        <v>4.5999999999999999E-3</v>
      </c>
      <c r="D57" s="84">
        <f>D$25*C57</f>
        <v>19.48</v>
      </c>
      <c r="E57" s="84">
        <f>E$25*C57</f>
        <v>22.16</v>
      </c>
      <c r="F57" s="66">
        <f>F$25*C57</f>
        <v>22.16</v>
      </c>
    </row>
    <row r="58" spans="1:6" s="30" customFormat="1" ht="15.75" customHeight="1" x14ac:dyDescent="0.25">
      <c r="A58" s="50" t="s">
        <v>2</v>
      </c>
      <c r="B58" s="51" t="s">
        <v>34</v>
      </c>
      <c r="C58" s="59">
        <v>4.0000000000000002E-4</v>
      </c>
      <c r="D58" s="84">
        <f>D$25*C58</f>
        <v>1.69</v>
      </c>
      <c r="E58" s="84">
        <f>E$25*C58</f>
        <v>1.93</v>
      </c>
      <c r="F58" s="66">
        <f>F$25*C58</f>
        <v>1.93</v>
      </c>
    </row>
    <row r="59" spans="1:6" s="30" customFormat="1" ht="15.75" customHeight="1" x14ac:dyDescent="0.25">
      <c r="A59" s="50" t="s">
        <v>3</v>
      </c>
      <c r="B59" s="54" t="s">
        <v>35</v>
      </c>
      <c r="C59" s="59">
        <v>1.9400000000000001E-2</v>
      </c>
      <c r="D59" s="84">
        <f>D$25*C59</f>
        <v>82.16</v>
      </c>
      <c r="E59" s="84">
        <f>E$25*C59</f>
        <v>93.46</v>
      </c>
      <c r="F59" s="66">
        <f>F$25*C59</f>
        <v>93.46</v>
      </c>
    </row>
    <row r="60" spans="1:6" s="30" customFormat="1" ht="30.75" customHeight="1" x14ac:dyDescent="0.25">
      <c r="A60" s="50" t="s">
        <v>5</v>
      </c>
      <c r="B60" s="51" t="s">
        <v>174</v>
      </c>
      <c r="C60" s="59">
        <v>7.1000000000000004E-3</v>
      </c>
      <c r="D60" s="84">
        <f>D$25*C60</f>
        <v>30.07</v>
      </c>
      <c r="E60" s="84">
        <f>E$25*C60</f>
        <v>34.200000000000003</v>
      </c>
      <c r="F60" s="66">
        <f>F$25*C60</f>
        <v>34.200000000000003</v>
      </c>
    </row>
    <row r="61" spans="1:6" s="30" customFormat="1" ht="15.75" customHeight="1" x14ac:dyDescent="0.25">
      <c r="A61" s="50" t="s">
        <v>20</v>
      </c>
      <c r="B61" s="51" t="s">
        <v>149</v>
      </c>
      <c r="C61" s="59">
        <v>0.04</v>
      </c>
      <c r="D61" s="84">
        <f>D$25*C61</f>
        <v>169.4</v>
      </c>
      <c r="E61" s="84">
        <f>E$25*C61</f>
        <v>192.69</v>
      </c>
      <c r="F61" s="66">
        <f>F$25*C61</f>
        <v>192.69</v>
      </c>
    </row>
    <row r="62" spans="1:6" s="30" customFormat="1" x14ac:dyDescent="0.25">
      <c r="A62" s="418" t="s">
        <v>154</v>
      </c>
      <c r="B62" s="419"/>
      <c r="C62" s="419"/>
      <c r="D62" s="70">
        <f>SUM(D57:D61)</f>
        <v>302.8</v>
      </c>
      <c r="E62" s="70">
        <f>SUM(E57:E61)</f>
        <v>344.44</v>
      </c>
      <c r="F62" s="65">
        <f>SUM(F57:F61)</f>
        <v>344.44</v>
      </c>
    </row>
    <row r="63" spans="1:6" s="30" customFormat="1" x14ac:dyDescent="0.25">
      <c r="A63" s="459" t="s">
        <v>163</v>
      </c>
      <c r="B63" s="460"/>
      <c r="C63" s="461"/>
      <c r="D63" s="296"/>
      <c r="E63" s="296"/>
      <c r="F63" s="297"/>
    </row>
    <row r="64" spans="1:6" s="30" customFormat="1" x14ac:dyDescent="0.25">
      <c r="A64" s="249" t="s">
        <v>198</v>
      </c>
      <c r="B64" s="430" t="s">
        <v>197</v>
      </c>
      <c r="C64" s="430"/>
      <c r="D64" s="74" t="s">
        <v>10</v>
      </c>
      <c r="E64" s="74" t="s">
        <v>10</v>
      </c>
      <c r="F64" s="165" t="s">
        <v>10</v>
      </c>
    </row>
    <row r="65" spans="1:6" s="30" customFormat="1" x14ac:dyDescent="0.25">
      <c r="A65" s="50" t="s">
        <v>0</v>
      </c>
      <c r="B65" s="51" t="s">
        <v>191</v>
      </c>
      <c r="C65" s="59">
        <v>9.2999999999999992E-3</v>
      </c>
      <c r="D65" s="84">
        <f t="shared" ref="D65:D70" si="0">(D$25+D$54+D$62+D$85)*C65</f>
        <v>73.05</v>
      </c>
      <c r="E65" s="84">
        <f t="shared" ref="E65:E70" si="1">(E$25+E$54+E$62+E$85)*C65</f>
        <v>82.3</v>
      </c>
      <c r="F65" s="66">
        <f t="shared" ref="F65:F70" si="2">(F$25+F$54+F$62+F$85)*C65</f>
        <v>82.3</v>
      </c>
    </row>
    <row r="66" spans="1:6" s="30" customFormat="1" x14ac:dyDescent="0.25">
      <c r="A66" s="50" t="s">
        <v>2</v>
      </c>
      <c r="B66" s="51" t="s">
        <v>192</v>
      </c>
      <c r="C66" s="59">
        <v>1.66E-2</v>
      </c>
      <c r="D66" s="84">
        <f t="shared" si="0"/>
        <v>130.38999999999999</v>
      </c>
      <c r="E66" s="84">
        <f t="shared" si="1"/>
        <v>146.9</v>
      </c>
      <c r="F66" s="66">
        <f t="shared" si="2"/>
        <v>146.9</v>
      </c>
    </row>
    <row r="67" spans="1:6" s="30" customFormat="1" x14ac:dyDescent="0.25">
      <c r="A67" s="50" t="s">
        <v>3</v>
      </c>
      <c r="B67" s="51" t="s">
        <v>193</v>
      </c>
      <c r="C67" s="59">
        <v>2.0000000000000001E-4</v>
      </c>
      <c r="D67" s="84">
        <f t="shared" si="0"/>
        <v>1.57</v>
      </c>
      <c r="E67" s="84">
        <f t="shared" si="1"/>
        <v>1.77</v>
      </c>
      <c r="F67" s="66">
        <f t="shared" si="2"/>
        <v>1.77</v>
      </c>
    </row>
    <row r="68" spans="1:6" s="30" customFormat="1" x14ac:dyDescent="0.25">
      <c r="A68" s="50" t="s">
        <v>5</v>
      </c>
      <c r="B68" s="51" t="s">
        <v>194</v>
      </c>
      <c r="C68" s="59">
        <v>2.7000000000000001E-3</v>
      </c>
      <c r="D68" s="84">
        <f t="shared" si="0"/>
        <v>21.21</v>
      </c>
      <c r="E68" s="84">
        <f t="shared" si="1"/>
        <v>23.89</v>
      </c>
      <c r="F68" s="66">
        <f t="shared" si="2"/>
        <v>23.89</v>
      </c>
    </row>
    <row r="69" spans="1:6" s="30" customFormat="1" x14ac:dyDescent="0.25">
      <c r="A69" s="50" t="s">
        <v>20</v>
      </c>
      <c r="B69" s="51" t="s">
        <v>195</v>
      </c>
      <c r="C69" s="59">
        <v>2.9999999999999997E-4</v>
      </c>
      <c r="D69" s="84">
        <f t="shared" si="0"/>
        <v>2.36</v>
      </c>
      <c r="E69" s="84">
        <f t="shared" si="1"/>
        <v>2.65</v>
      </c>
      <c r="F69" s="66">
        <f t="shared" si="2"/>
        <v>2.65</v>
      </c>
    </row>
    <row r="70" spans="1:6" s="30" customFormat="1" ht="15.75" customHeight="1" x14ac:dyDescent="0.25">
      <c r="A70" s="50" t="s">
        <v>21</v>
      </c>
      <c r="B70" s="250" t="s">
        <v>196</v>
      </c>
      <c r="C70" s="59">
        <v>0</v>
      </c>
      <c r="D70" s="84">
        <f t="shared" si="0"/>
        <v>0</v>
      </c>
      <c r="E70" s="84">
        <f t="shared" si="1"/>
        <v>0</v>
      </c>
      <c r="F70" s="66">
        <f t="shared" si="2"/>
        <v>0</v>
      </c>
    </row>
    <row r="71" spans="1:6" s="30" customFormat="1" x14ac:dyDescent="0.25">
      <c r="A71" s="416" t="s">
        <v>29</v>
      </c>
      <c r="B71" s="417"/>
      <c r="C71" s="60">
        <f>SUM(C65:C70)</f>
        <v>2.9100000000000001E-2</v>
      </c>
      <c r="D71" s="86">
        <f>SUM(D65:D70)</f>
        <v>228.58</v>
      </c>
      <c r="E71" s="86">
        <f>SUM(E65:E70)</f>
        <v>257.51</v>
      </c>
      <c r="F71" s="67">
        <f>SUM(F65:F70)</f>
        <v>257.51</v>
      </c>
    </row>
    <row r="72" spans="1:6" s="30" customFormat="1" x14ac:dyDescent="0.25">
      <c r="A72" s="254"/>
      <c r="B72" s="255"/>
      <c r="C72" s="78"/>
      <c r="D72" s="78"/>
      <c r="E72" s="78"/>
      <c r="F72" s="63"/>
    </row>
    <row r="73" spans="1:6" s="30" customFormat="1" x14ac:dyDescent="0.25">
      <c r="A73" s="254"/>
      <c r="B73" s="406" t="s">
        <v>200</v>
      </c>
      <c r="C73" s="431"/>
      <c r="D73" s="74" t="s">
        <v>10</v>
      </c>
      <c r="E73" s="74" t="s">
        <v>10</v>
      </c>
      <c r="F73" s="165" t="s">
        <v>10</v>
      </c>
    </row>
    <row r="74" spans="1:6" s="30" customFormat="1" x14ac:dyDescent="0.25">
      <c r="A74" s="50" t="s">
        <v>0</v>
      </c>
      <c r="B74" s="51" t="s">
        <v>201</v>
      </c>
      <c r="C74" s="59">
        <v>0</v>
      </c>
      <c r="D74" s="84">
        <f>(D$25+D$54+D$62)*C74</f>
        <v>0</v>
      </c>
      <c r="E74" s="84">
        <f>(E$25+E$54+E$62)*C74</f>
        <v>0</v>
      </c>
      <c r="F74" s="66">
        <f>(F$25+F$54+F$62)*C74</f>
        <v>0</v>
      </c>
    </row>
    <row r="75" spans="1:6" s="30" customFormat="1" ht="15.75" customHeight="1" x14ac:dyDescent="0.25">
      <c r="A75" s="416" t="s">
        <v>27</v>
      </c>
      <c r="B75" s="417"/>
      <c r="C75" s="101">
        <f>C74</f>
        <v>0</v>
      </c>
      <c r="D75" s="86">
        <f>D74</f>
        <v>0</v>
      </c>
      <c r="E75" s="86">
        <f>E74</f>
        <v>0</v>
      </c>
      <c r="F75" s="67">
        <f>F74</f>
        <v>0</v>
      </c>
    </row>
    <row r="76" spans="1:6" s="30" customFormat="1" ht="15.75" customHeight="1" x14ac:dyDescent="0.25">
      <c r="A76" s="462" t="s">
        <v>30</v>
      </c>
      <c r="B76" s="463"/>
      <c r="C76" s="464"/>
      <c r="D76" s="299"/>
      <c r="E76" s="299"/>
      <c r="F76" s="300"/>
    </row>
    <row r="77" spans="1:6" s="30" customFormat="1" ht="15.75" customHeight="1" x14ac:dyDescent="0.25">
      <c r="A77" s="456" t="s">
        <v>202</v>
      </c>
      <c r="B77" s="457"/>
      <c r="C77" s="458"/>
      <c r="D77" s="301"/>
      <c r="E77" s="301"/>
      <c r="F77" s="302"/>
    </row>
    <row r="78" spans="1:6" s="30" customFormat="1" ht="15.75" customHeight="1" x14ac:dyDescent="0.25">
      <c r="A78" s="249">
        <v>4</v>
      </c>
      <c r="B78" s="420" t="s">
        <v>31</v>
      </c>
      <c r="C78" s="429"/>
      <c r="D78" s="74" t="s">
        <v>10</v>
      </c>
      <c r="E78" s="74" t="s">
        <v>10</v>
      </c>
      <c r="F78" s="165" t="s">
        <v>10</v>
      </c>
    </row>
    <row r="79" spans="1:6" s="30" customFormat="1" ht="15.75" customHeight="1" x14ac:dyDescent="0.25">
      <c r="A79" s="50" t="s">
        <v>198</v>
      </c>
      <c r="B79" s="250" t="s">
        <v>197</v>
      </c>
      <c r="C79" s="59">
        <f>C71</f>
        <v>2.9100000000000001E-2</v>
      </c>
      <c r="D79" s="84">
        <f>D71</f>
        <v>228.58</v>
      </c>
      <c r="E79" s="84">
        <f>E71</f>
        <v>257.51</v>
      </c>
      <c r="F79" s="66">
        <f>F71</f>
        <v>257.51</v>
      </c>
    </row>
    <row r="80" spans="1:6" s="30" customFormat="1" ht="15.75" customHeight="1" x14ac:dyDescent="0.25">
      <c r="A80" s="50" t="s">
        <v>220</v>
      </c>
      <c r="B80" s="250" t="s">
        <v>200</v>
      </c>
      <c r="C80" s="59">
        <v>0</v>
      </c>
      <c r="D80" s="84">
        <f>(D$25+D$54+D$62)*C80</f>
        <v>0</v>
      </c>
      <c r="E80" s="84">
        <f>(E$25+E$54+E$62)*C80</f>
        <v>0</v>
      </c>
      <c r="F80" s="66">
        <f>(F$25+F$54+F$62)*C80</f>
        <v>0</v>
      </c>
    </row>
    <row r="81" spans="1:6" s="30" customFormat="1" ht="15.75" customHeight="1" x14ac:dyDescent="0.25">
      <c r="A81" s="416" t="s">
        <v>27</v>
      </c>
      <c r="B81" s="417"/>
      <c r="C81" s="99">
        <f>SUM(C79:C80)</f>
        <v>2.9100000000000001E-2</v>
      </c>
      <c r="D81" s="86">
        <f>SUM(D79:D80)</f>
        <v>228.58</v>
      </c>
      <c r="E81" s="86">
        <f>SUM(E79:E80)</f>
        <v>257.51</v>
      </c>
      <c r="F81" s="67">
        <f>SUM(F79:F80)</f>
        <v>257.51</v>
      </c>
    </row>
    <row r="82" spans="1:6" s="30" customFormat="1" ht="15.75" customHeight="1" x14ac:dyDescent="0.25">
      <c r="A82" s="418" t="s">
        <v>155</v>
      </c>
      <c r="B82" s="419"/>
      <c r="C82" s="419"/>
      <c r="D82" s="70">
        <f>SUM(D75+D81)</f>
        <v>228.58</v>
      </c>
      <c r="E82" s="70">
        <f>SUM(E75+E81)</f>
        <v>257.51</v>
      </c>
      <c r="F82" s="65">
        <f>SUM(F75+F81)</f>
        <v>257.51</v>
      </c>
    </row>
    <row r="83" spans="1:6" s="30" customFormat="1" ht="15.75" customHeight="1" x14ac:dyDescent="0.25">
      <c r="A83" s="459" t="s">
        <v>164</v>
      </c>
      <c r="B83" s="460"/>
      <c r="C83" s="461"/>
      <c r="D83" s="296"/>
      <c r="E83" s="296"/>
      <c r="F83" s="297"/>
    </row>
    <row r="84" spans="1:6" s="30" customFormat="1" ht="15.75" customHeight="1" x14ac:dyDescent="0.25">
      <c r="A84" s="249">
        <v>5</v>
      </c>
      <c r="B84" s="420" t="s">
        <v>24</v>
      </c>
      <c r="C84" s="429"/>
      <c r="D84" s="74" t="s">
        <v>10</v>
      </c>
      <c r="E84" s="74" t="s">
        <v>10</v>
      </c>
      <c r="F84" s="165" t="s">
        <v>10</v>
      </c>
    </row>
    <row r="85" spans="1:6" s="30" customFormat="1" ht="15.75" customHeight="1" x14ac:dyDescent="0.25">
      <c r="A85" s="48" t="s">
        <v>0</v>
      </c>
      <c r="B85" s="434" t="s">
        <v>221</v>
      </c>
      <c r="C85" s="434"/>
      <c r="D85" s="84">
        <f>Uniformes!H7</f>
        <v>36.61</v>
      </c>
      <c r="E85" s="84">
        <f>Uniformes!H7</f>
        <v>36.61</v>
      </c>
      <c r="F85" s="66">
        <f>Uniformes!H7</f>
        <v>36.61</v>
      </c>
    </row>
    <row r="86" spans="1:6" s="30" customFormat="1" ht="15.75" customHeight="1" x14ac:dyDescent="0.25">
      <c r="A86" s="231" t="s">
        <v>2</v>
      </c>
      <c r="B86" s="435" t="s">
        <v>222</v>
      </c>
      <c r="C86" s="435"/>
      <c r="D86" s="227">
        <f>Materiais!H18</f>
        <v>64.819999999999993</v>
      </c>
      <c r="E86" s="227">
        <f>Materiais!H19</f>
        <v>44.57</v>
      </c>
      <c r="F86" s="228">
        <f>Materiais!H20</f>
        <v>44.57</v>
      </c>
    </row>
    <row r="87" spans="1:6" s="30" customFormat="1" ht="15.75" customHeight="1" x14ac:dyDescent="0.25">
      <c r="A87" s="231" t="s">
        <v>3</v>
      </c>
      <c r="B87" s="435" t="s">
        <v>187</v>
      </c>
      <c r="C87" s="435"/>
      <c r="D87" s="229">
        <f>Equipamentos!H18</f>
        <v>1312.5</v>
      </c>
      <c r="E87" s="229">
        <f>Equipamentos!H19</f>
        <v>922.4</v>
      </c>
      <c r="F87" s="230">
        <f>Equipamentos!H20</f>
        <v>922.4</v>
      </c>
    </row>
    <row r="88" spans="1:6" s="30" customFormat="1" ht="15.75" customHeight="1" x14ac:dyDescent="0.25">
      <c r="A88" s="48" t="s">
        <v>5</v>
      </c>
      <c r="B88" s="434" t="s">
        <v>137</v>
      </c>
      <c r="C88" s="434"/>
      <c r="D88" s="84">
        <v>0</v>
      </c>
      <c r="E88" s="84">
        <v>0</v>
      </c>
      <c r="F88" s="66">
        <v>0</v>
      </c>
    </row>
    <row r="89" spans="1:6" s="30" customFormat="1" ht="15.75" customHeight="1" x14ac:dyDescent="0.25">
      <c r="A89" s="418" t="s">
        <v>156</v>
      </c>
      <c r="B89" s="419"/>
      <c r="C89" s="419"/>
      <c r="D89" s="70">
        <f>SUM(D85:D88)</f>
        <v>1413.93</v>
      </c>
      <c r="E89" s="70">
        <f>SUM(E85:E88)</f>
        <v>1003.58</v>
      </c>
      <c r="F89" s="65">
        <f>SUM(F85:F88)</f>
        <v>1003.58</v>
      </c>
    </row>
    <row r="90" spans="1:6" s="30" customFormat="1" ht="30" customHeight="1" x14ac:dyDescent="0.25">
      <c r="A90" s="427" t="s">
        <v>224</v>
      </c>
      <c r="B90" s="428"/>
      <c r="C90" s="428"/>
      <c r="D90" s="161">
        <f>D89+D82+D62+D54+D25</f>
        <v>9460.8700000000008</v>
      </c>
      <c r="E90" s="161">
        <f>E89+E82+E62+E54+E25</f>
        <v>10073.65</v>
      </c>
      <c r="F90" s="184">
        <f>F89+F82+F62+F54+F25</f>
        <v>10073.65</v>
      </c>
    </row>
    <row r="91" spans="1:6" s="30" customFormat="1" ht="19.5" customHeight="1" x14ac:dyDescent="0.25">
      <c r="A91" s="459" t="s">
        <v>165</v>
      </c>
      <c r="B91" s="460"/>
      <c r="C91" s="461"/>
      <c r="D91" s="296"/>
      <c r="E91" s="296"/>
      <c r="F91" s="297"/>
    </row>
    <row r="92" spans="1:6" s="30" customFormat="1" x14ac:dyDescent="0.25">
      <c r="A92" s="249">
        <v>6</v>
      </c>
      <c r="B92" s="420" t="s">
        <v>38</v>
      </c>
      <c r="C92" s="421"/>
      <c r="D92" s="74" t="s">
        <v>10</v>
      </c>
      <c r="E92" s="74" t="s">
        <v>10</v>
      </c>
      <c r="F92" s="165" t="s">
        <v>10</v>
      </c>
    </row>
    <row r="93" spans="1:6" s="30" customFormat="1" x14ac:dyDescent="0.25">
      <c r="A93" s="249" t="s">
        <v>0</v>
      </c>
      <c r="B93" s="51" t="s">
        <v>39</v>
      </c>
      <c r="C93" s="59">
        <v>0.03</v>
      </c>
      <c r="D93" s="84">
        <f>+D90*C93</f>
        <v>283.83</v>
      </c>
      <c r="E93" s="84">
        <f>+E90*C93</f>
        <v>302.20999999999998</v>
      </c>
      <c r="F93" s="66">
        <f>+F90*C93</f>
        <v>302.20999999999998</v>
      </c>
    </row>
    <row r="94" spans="1:6" s="30" customFormat="1" x14ac:dyDescent="0.25">
      <c r="A94" s="249" t="s">
        <v>2</v>
      </c>
      <c r="B94" s="51" t="s">
        <v>40</v>
      </c>
      <c r="C94" s="59">
        <v>6.7900000000000002E-2</v>
      </c>
      <c r="D94" s="84">
        <f>C94*(+D90+D93)</f>
        <v>661.67</v>
      </c>
      <c r="E94" s="84">
        <f>C94*(+E90+E93)</f>
        <v>704.52</v>
      </c>
      <c r="F94" s="66">
        <f>C94*(+F90+F93)</f>
        <v>704.52</v>
      </c>
    </row>
    <row r="95" spans="1:6" s="30" customFormat="1" ht="31.5" x14ac:dyDescent="0.25">
      <c r="A95" s="436" t="s">
        <v>3</v>
      </c>
      <c r="B95" s="51" t="s">
        <v>50</v>
      </c>
      <c r="C95" s="59">
        <f>1-C103</f>
        <v>0.85750000000000004</v>
      </c>
      <c r="D95" s="84">
        <f>+D90+D93+D94</f>
        <v>10406.370000000001</v>
      </c>
      <c r="E95" s="84">
        <f>+E90+E93+E94</f>
        <v>11080.38</v>
      </c>
      <c r="F95" s="66">
        <f>+F90+F93+F94</f>
        <v>11080.38</v>
      </c>
    </row>
    <row r="96" spans="1:6" s="30" customFormat="1" x14ac:dyDescent="0.25">
      <c r="A96" s="436"/>
      <c r="B96" s="250" t="s">
        <v>41</v>
      </c>
      <c r="C96" s="95"/>
      <c r="D96" s="162">
        <f>+D95/C95</f>
        <v>12135.71</v>
      </c>
      <c r="E96" s="162">
        <f>+E95/C95</f>
        <v>12921.73</v>
      </c>
      <c r="F96" s="185">
        <f>+F95/C95</f>
        <v>12921.73</v>
      </c>
    </row>
    <row r="97" spans="1:6" s="30" customFormat="1" x14ac:dyDescent="0.25">
      <c r="A97" s="436"/>
      <c r="B97" s="250" t="s">
        <v>42</v>
      </c>
      <c r="C97" s="250"/>
      <c r="D97" s="84"/>
      <c r="E97" s="84"/>
      <c r="F97" s="66"/>
    </row>
    <row r="98" spans="1:6" s="30" customFormat="1" x14ac:dyDescent="0.25">
      <c r="A98" s="436"/>
      <c r="B98" s="51" t="s">
        <v>130</v>
      </c>
      <c r="C98" s="59">
        <v>1.6500000000000001E-2</v>
      </c>
      <c r="D98" s="84">
        <f>+D96*C98</f>
        <v>200.24</v>
      </c>
      <c r="E98" s="84">
        <f>+E96*C98</f>
        <v>213.21</v>
      </c>
      <c r="F98" s="66">
        <f>+F96*C98</f>
        <v>213.21</v>
      </c>
    </row>
    <row r="99" spans="1:6" s="30" customFormat="1" x14ac:dyDescent="0.25">
      <c r="A99" s="436"/>
      <c r="B99" s="51" t="s">
        <v>131</v>
      </c>
      <c r="C99" s="59">
        <v>7.5999999999999998E-2</v>
      </c>
      <c r="D99" s="84">
        <f>+D96*C99</f>
        <v>922.31</v>
      </c>
      <c r="E99" s="84">
        <f>+E96*C99</f>
        <v>982.05</v>
      </c>
      <c r="F99" s="66">
        <f>+F96*C99</f>
        <v>982.05</v>
      </c>
    </row>
    <row r="100" spans="1:6" s="30" customFormat="1" x14ac:dyDescent="0.25">
      <c r="A100" s="436"/>
      <c r="B100" s="53" t="s">
        <v>43</v>
      </c>
      <c r="C100" s="95"/>
      <c r="D100" s="84"/>
      <c r="E100" s="84"/>
      <c r="F100" s="66"/>
    </row>
    <row r="101" spans="1:6" s="30" customFormat="1" x14ac:dyDescent="0.25">
      <c r="A101" s="436"/>
      <c r="B101" s="53" t="s">
        <v>44</v>
      </c>
      <c r="C101" s="102"/>
      <c r="D101" s="102"/>
      <c r="E101" s="84"/>
      <c r="F101" s="66"/>
    </row>
    <row r="102" spans="1:6" s="30" customFormat="1" x14ac:dyDescent="0.25">
      <c r="A102" s="436"/>
      <c r="B102" s="51" t="s">
        <v>142</v>
      </c>
      <c r="C102" s="59">
        <v>0.05</v>
      </c>
      <c r="D102" s="84">
        <f>+D96*C102</f>
        <v>606.79</v>
      </c>
      <c r="E102" s="84">
        <f>+E96*C102</f>
        <v>646.09</v>
      </c>
      <c r="F102" s="66">
        <f>+F96*C102</f>
        <v>646.09</v>
      </c>
    </row>
    <row r="103" spans="1:6" s="30" customFormat="1" x14ac:dyDescent="0.25">
      <c r="A103" s="249"/>
      <c r="B103" s="106" t="s">
        <v>45</v>
      </c>
      <c r="C103" s="107">
        <f>SUM(C98:C102)</f>
        <v>0.14249999999999999</v>
      </c>
      <c r="D103" s="108">
        <f>SUM(D98:D102)</f>
        <v>1729.34</v>
      </c>
      <c r="E103" s="108">
        <f>SUM(E98:E102)</f>
        <v>1841.35</v>
      </c>
      <c r="F103" s="179">
        <f>SUM(F98:F102)</f>
        <v>1841.35</v>
      </c>
    </row>
    <row r="104" spans="1:6" s="30" customFormat="1" ht="15.75" customHeight="1" x14ac:dyDescent="0.25">
      <c r="A104" s="416" t="s">
        <v>46</v>
      </c>
      <c r="B104" s="417"/>
      <c r="C104" s="417"/>
      <c r="D104" s="86">
        <f>+D93+D94+D103</f>
        <v>2674.84</v>
      </c>
      <c r="E104" s="86">
        <f>+E93+E94+E103</f>
        <v>2848.08</v>
      </c>
      <c r="F104" s="67">
        <f>+F93+F94+F103</f>
        <v>2848.08</v>
      </c>
    </row>
    <row r="105" spans="1:6" s="30" customFormat="1" ht="15.75" customHeight="1" x14ac:dyDescent="0.25">
      <c r="A105" s="454" t="s">
        <v>47</v>
      </c>
      <c r="B105" s="455"/>
      <c r="C105" s="455"/>
      <c r="D105" s="163" t="s">
        <v>10</v>
      </c>
      <c r="E105" s="163" t="s">
        <v>10</v>
      </c>
      <c r="F105" s="186" t="s">
        <v>10</v>
      </c>
    </row>
    <row r="106" spans="1:6" s="30" customFormat="1" x14ac:dyDescent="0.25">
      <c r="A106" s="50" t="s">
        <v>0</v>
      </c>
      <c r="B106" s="438" t="s">
        <v>48</v>
      </c>
      <c r="C106" s="438"/>
      <c r="D106" s="84">
        <f>+D25</f>
        <v>4234.92</v>
      </c>
      <c r="E106" s="84">
        <f>+E25</f>
        <v>4817.37</v>
      </c>
      <c r="F106" s="66">
        <f>+F25</f>
        <v>4817.37</v>
      </c>
    </row>
    <row r="107" spans="1:6" s="30" customFormat="1" x14ac:dyDescent="0.25">
      <c r="A107" s="50" t="s">
        <v>2</v>
      </c>
      <c r="B107" s="438" t="s">
        <v>159</v>
      </c>
      <c r="C107" s="438"/>
      <c r="D107" s="84">
        <f>+D54</f>
        <v>3280.64</v>
      </c>
      <c r="E107" s="84">
        <f>+E54</f>
        <v>3650.75</v>
      </c>
      <c r="F107" s="66">
        <f>+F54</f>
        <v>3650.75</v>
      </c>
    </row>
    <row r="108" spans="1:6" s="30" customFormat="1" x14ac:dyDescent="0.25">
      <c r="A108" s="50" t="s">
        <v>3</v>
      </c>
      <c r="B108" s="438" t="s">
        <v>157</v>
      </c>
      <c r="C108" s="438"/>
      <c r="D108" s="84">
        <f>D62</f>
        <v>302.8</v>
      </c>
      <c r="E108" s="84">
        <f>E62</f>
        <v>344.44</v>
      </c>
      <c r="F108" s="66">
        <f>F62</f>
        <v>344.44</v>
      </c>
    </row>
    <row r="109" spans="1:6" s="30" customFormat="1" x14ac:dyDescent="0.25">
      <c r="A109" s="50" t="s">
        <v>5</v>
      </c>
      <c r="B109" s="452" t="s">
        <v>150</v>
      </c>
      <c r="C109" s="453"/>
      <c r="D109" s="84">
        <f>D82</f>
        <v>228.58</v>
      </c>
      <c r="E109" s="84">
        <f>E82</f>
        <v>257.51</v>
      </c>
      <c r="F109" s="66">
        <f>F82</f>
        <v>257.51</v>
      </c>
    </row>
    <row r="110" spans="1:6" s="30" customFormat="1" x14ac:dyDescent="0.25">
      <c r="A110" s="50" t="s">
        <v>20</v>
      </c>
      <c r="B110" s="452" t="s">
        <v>158</v>
      </c>
      <c r="C110" s="453"/>
      <c r="D110" s="84">
        <f>D89</f>
        <v>1413.93</v>
      </c>
      <c r="E110" s="84">
        <f>E89</f>
        <v>1003.58</v>
      </c>
      <c r="F110" s="66">
        <f>F89</f>
        <v>1003.58</v>
      </c>
    </row>
    <row r="111" spans="1:6" s="30" customFormat="1" ht="15.75" customHeight="1" x14ac:dyDescent="0.25">
      <c r="A111" s="436" t="s">
        <v>160</v>
      </c>
      <c r="B111" s="437"/>
      <c r="C111" s="437"/>
      <c r="D111" s="108">
        <f>SUM(D106:D110)</f>
        <v>9460.8700000000008</v>
      </c>
      <c r="E111" s="108">
        <f>SUM(E106:E110)</f>
        <v>10073.65</v>
      </c>
      <c r="F111" s="179">
        <f>SUM(F106:F110)</f>
        <v>10073.65</v>
      </c>
    </row>
    <row r="112" spans="1:6" s="30" customFormat="1" x14ac:dyDescent="0.25">
      <c r="A112" s="249" t="s">
        <v>20</v>
      </c>
      <c r="B112" s="438" t="s">
        <v>161</v>
      </c>
      <c r="C112" s="438"/>
      <c r="D112" s="84">
        <f>+D104</f>
        <v>2674.84</v>
      </c>
      <c r="E112" s="84">
        <f>+E104</f>
        <v>2848.08</v>
      </c>
      <c r="F112" s="66">
        <f>+F104</f>
        <v>2848.08</v>
      </c>
    </row>
    <row r="113" spans="1:6" s="30" customFormat="1" ht="16.5" customHeight="1" thickBot="1" x14ac:dyDescent="0.3">
      <c r="A113" s="439" t="s">
        <v>49</v>
      </c>
      <c r="B113" s="440"/>
      <c r="C113" s="440"/>
      <c r="D113" s="164">
        <f>+D111+D112</f>
        <v>12135.71</v>
      </c>
      <c r="E113" s="164">
        <f>+E111+E112</f>
        <v>12921.73</v>
      </c>
      <c r="F113" s="187">
        <f>+F111+F112</f>
        <v>12921.73</v>
      </c>
    </row>
    <row r="114" spans="1:6" x14ac:dyDescent="0.25">
      <c r="C114" s="31"/>
      <c r="D114" s="31"/>
      <c r="E114" s="31"/>
      <c r="F114" s="31"/>
    </row>
    <row r="115" spans="1:6" x14ac:dyDescent="0.25">
      <c r="B115" s="28"/>
      <c r="C115" s="31"/>
      <c r="D115" s="31"/>
      <c r="E115" s="31"/>
      <c r="F115" s="31"/>
    </row>
    <row r="116" spans="1:6" x14ac:dyDescent="0.25">
      <c r="B116" s="28"/>
      <c r="C116" s="31"/>
      <c r="D116" s="31"/>
      <c r="E116" s="31"/>
      <c r="F116" s="31"/>
    </row>
    <row r="117" spans="1:6" x14ac:dyDescent="0.25">
      <c r="B117" s="28"/>
      <c r="C117" s="441"/>
      <c r="D117" s="441"/>
      <c r="E117" s="441"/>
      <c r="F117" s="441"/>
    </row>
    <row r="118" spans="1:6" x14ac:dyDescent="0.25">
      <c r="B118" s="28"/>
      <c r="C118" s="31"/>
      <c r="D118" s="31"/>
      <c r="E118" s="31"/>
      <c r="F118" s="31"/>
    </row>
    <row r="120" spans="1:6" x14ac:dyDescent="0.25">
      <c r="B120" s="36"/>
    </row>
    <row r="125" spans="1:6" x14ac:dyDescent="0.25">
      <c r="B125" s="28"/>
    </row>
  </sheetData>
  <mergeCells count="66">
    <mergeCell ref="C117:F117"/>
    <mergeCell ref="A91:C91"/>
    <mergeCell ref="A26:C26"/>
    <mergeCell ref="A42:C42"/>
    <mergeCell ref="A50:C50"/>
    <mergeCell ref="A55:C55"/>
    <mergeCell ref="A63:C63"/>
    <mergeCell ref="B84:C84"/>
    <mergeCell ref="B85:C85"/>
    <mergeCell ref="B86:C86"/>
    <mergeCell ref="A81:B81"/>
    <mergeCell ref="A83:C83"/>
    <mergeCell ref="A75:B75"/>
    <mergeCell ref="B78:C78"/>
    <mergeCell ref="A82:C82"/>
    <mergeCell ref="A76:C76"/>
    <mergeCell ref="B110:C110"/>
    <mergeCell ref="A111:C111"/>
    <mergeCell ref="B112:C112"/>
    <mergeCell ref="A113:C113"/>
    <mergeCell ref="A77:C77"/>
    <mergeCell ref="A49:C49"/>
    <mergeCell ref="B64:C64"/>
    <mergeCell ref="B108:C108"/>
    <mergeCell ref="B109:C109"/>
    <mergeCell ref="B88:C88"/>
    <mergeCell ref="A89:C89"/>
    <mergeCell ref="A90:C90"/>
    <mergeCell ref="B92:C92"/>
    <mergeCell ref="A95:A102"/>
    <mergeCell ref="A104:C104"/>
    <mergeCell ref="A105:C105"/>
    <mergeCell ref="B106:C106"/>
    <mergeCell ref="B107:C107"/>
    <mergeCell ref="B87:C87"/>
    <mergeCell ref="B73:C73"/>
    <mergeCell ref="A71:B71"/>
    <mergeCell ref="A30:B30"/>
    <mergeCell ref="A31:F31"/>
    <mergeCell ref="B32:C32"/>
    <mergeCell ref="A41:B41"/>
    <mergeCell ref="B43:C43"/>
    <mergeCell ref="B56:C56"/>
    <mergeCell ref="A62:C62"/>
    <mergeCell ref="B17:C17"/>
    <mergeCell ref="C7:F7"/>
    <mergeCell ref="A8:F8"/>
    <mergeCell ref="A9:F9"/>
    <mergeCell ref="A10:F10"/>
    <mergeCell ref="A11:C11"/>
    <mergeCell ref="C12:F12"/>
    <mergeCell ref="C14:F14"/>
    <mergeCell ref="C15:F15"/>
    <mergeCell ref="A16:C16"/>
    <mergeCell ref="D11:F11"/>
    <mergeCell ref="A54:C54"/>
    <mergeCell ref="A25:C25"/>
    <mergeCell ref="B27:C27"/>
    <mergeCell ref="E13:F13"/>
    <mergeCell ref="C13:D13"/>
    <mergeCell ref="C6:F6"/>
    <mergeCell ref="A1:F1"/>
    <mergeCell ref="A2:F2"/>
    <mergeCell ref="A3:F3"/>
    <mergeCell ref="C4:F4"/>
    <mergeCell ref="C5:F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pageSetUpPr fitToPage="1"/>
  </sheetPr>
  <dimension ref="A1:F125"/>
  <sheetViews>
    <sheetView view="pageBreakPreview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393"/>
      <c r="B1" s="394"/>
      <c r="C1" s="394"/>
      <c r="D1" s="394"/>
      <c r="E1" s="394"/>
      <c r="F1" s="395"/>
    </row>
    <row r="2" spans="1:6" s="38" customFormat="1" ht="16.5" customHeight="1" x14ac:dyDescent="0.25">
      <c r="A2" s="396" t="s">
        <v>132</v>
      </c>
      <c r="B2" s="397"/>
      <c r="C2" s="397"/>
      <c r="D2" s="397"/>
      <c r="E2" s="397"/>
      <c r="F2" s="398"/>
    </row>
    <row r="3" spans="1:6" s="38" customFormat="1" x14ac:dyDescent="0.25">
      <c r="A3" s="399" t="s">
        <v>129</v>
      </c>
      <c r="B3" s="400"/>
      <c r="C3" s="400"/>
      <c r="D3" s="400"/>
      <c r="E3" s="400"/>
      <c r="F3" s="401"/>
    </row>
    <row r="4" spans="1:6" s="38" customFormat="1" ht="15" customHeight="1" x14ac:dyDescent="0.25">
      <c r="A4" s="40" t="s">
        <v>0</v>
      </c>
      <c r="B4" s="41" t="s">
        <v>1</v>
      </c>
      <c r="C4" s="402">
        <v>2024</v>
      </c>
      <c r="D4" s="402"/>
      <c r="E4" s="402"/>
      <c r="F4" s="403"/>
    </row>
    <row r="5" spans="1:6" s="38" customFormat="1" ht="60" customHeight="1" x14ac:dyDescent="0.25">
      <c r="A5" s="40" t="s">
        <v>2</v>
      </c>
      <c r="B5" s="41" t="s">
        <v>140</v>
      </c>
      <c r="C5" s="391" t="s">
        <v>268</v>
      </c>
      <c r="D5" s="391"/>
      <c r="E5" s="391"/>
      <c r="F5" s="392"/>
    </row>
    <row r="6" spans="1:6" s="38" customFormat="1" ht="15.75" customHeight="1" x14ac:dyDescent="0.25">
      <c r="A6" s="40" t="s">
        <v>3</v>
      </c>
      <c r="B6" s="41" t="s">
        <v>4</v>
      </c>
      <c r="C6" s="391" t="s">
        <v>271</v>
      </c>
      <c r="D6" s="391"/>
      <c r="E6" s="391"/>
      <c r="F6" s="392"/>
    </row>
    <row r="7" spans="1:6" s="38" customFormat="1" x14ac:dyDescent="0.25">
      <c r="A7" s="40" t="s">
        <v>5</v>
      </c>
      <c r="B7" s="41" t="s">
        <v>143</v>
      </c>
      <c r="C7" s="391">
        <v>12</v>
      </c>
      <c r="D7" s="391"/>
      <c r="E7" s="391"/>
      <c r="F7" s="392"/>
    </row>
    <row r="8" spans="1:6" s="38" customFormat="1" x14ac:dyDescent="0.25">
      <c r="A8" s="399" t="s">
        <v>6</v>
      </c>
      <c r="B8" s="400"/>
      <c r="C8" s="400"/>
      <c r="D8" s="400"/>
      <c r="E8" s="400"/>
      <c r="F8" s="401"/>
    </row>
    <row r="9" spans="1:6" s="38" customFormat="1" x14ac:dyDescent="0.25">
      <c r="A9" s="399" t="s">
        <v>7</v>
      </c>
      <c r="B9" s="400"/>
      <c r="C9" s="400"/>
      <c r="D9" s="400"/>
      <c r="E9" s="400"/>
      <c r="F9" s="401"/>
    </row>
    <row r="10" spans="1:6" s="38" customFormat="1" ht="15.75" customHeight="1" x14ac:dyDescent="0.25">
      <c r="A10" s="399" t="s">
        <v>8</v>
      </c>
      <c r="B10" s="400"/>
      <c r="C10" s="400"/>
      <c r="D10" s="400"/>
      <c r="E10" s="400"/>
      <c r="F10" s="401"/>
    </row>
    <row r="11" spans="1:6" s="38" customFormat="1" ht="30" customHeight="1" x14ac:dyDescent="0.25">
      <c r="A11" s="407" t="s">
        <v>9</v>
      </c>
      <c r="B11" s="408"/>
      <c r="C11" s="408"/>
      <c r="D11" s="470" t="s">
        <v>10</v>
      </c>
      <c r="E11" s="470"/>
      <c r="F11" s="471"/>
    </row>
    <row r="12" spans="1:6" s="38" customFormat="1" ht="45" customHeight="1" x14ac:dyDescent="0.25">
      <c r="A12" s="40">
        <v>1</v>
      </c>
      <c r="B12" s="42" t="s">
        <v>133</v>
      </c>
      <c r="C12" s="409" t="s">
        <v>269</v>
      </c>
      <c r="D12" s="409"/>
      <c r="E12" s="409"/>
      <c r="F12" s="410"/>
    </row>
    <row r="13" spans="1:6" s="38" customFormat="1" ht="30" customHeight="1" x14ac:dyDescent="0.25">
      <c r="A13" s="40">
        <v>2</v>
      </c>
      <c r="B13" s="42" t="s">
        <v>11</v>
      </c>
      <c r="C13" s="444">
        <v>3325</v>
      </c>
      <c r="D13" s="444"/>
      <c r="E13" s="444"/>
      <c r="F13" s="467"/>
    </row>
    <row r="14" spans="1:6" s="38" customFormat="1" ht="15.75" customHeight="1" x14ac:dyDescent="0.25">
      <c r="A14" s="40">
        <v>3</v>
      </c>
      <c r="B14" s="42" t="s">
        <v>12</v>
      </c>
      <c r="C14" s="409" t="s">
        <v>272</v>
      </c>
      <c r="D14" s="409"/>
      <c r="E14" s="409"/>
      <c r="F14" s="410"/>
    </row>
    <row r="15" spans="1:6" s="38" customFormat="1" x14ac:dyDescent="0.25">
      <c r="A15" s="40">
        <v>4</v>
      </c>
      <c r="B15" s="43" t="s">
        <v>13</v>
      </c>
      <c r="C15" s="468"/>
      <c r="D15" s="468"/>
      <c r="E15" s="468"/>
      <c r="F15" s="469"/>
    </row>
    <row r="16" spans="1:6" s="39" customFormat="1" ht="15.75" customHeight="1" x14ac:dyDescent="0.25">
      <c r="A16" s="404" t="s">
        <v>14</v>
      </c>
      <c r="B16" s="405"/>
      <c r="C16" s="405"/>
      <c r="D16" s="289" t="s">
        <v>265</v>
      </c>
      <c r="E16" s="286" t="s">
        <v>267</v>
      </c>
      <c r="F16" s="290" t="s">
        <v>265</v>
      </c>
    </row>
    <row r="17" spans="1:6" s="39" customFormat="1" x14ac:dyDescent="0.25">
      <c r="A17" s="293">
        <v>1</v>
      </c>
      <c r="B17" s="406" t="s">
        <v>15</v>
      </c>
      <c r="C17" s="406"/>
      <c r="D17" s="61" t="s">
        <v>10</v>
      </c>
      <c r="E17" s="61" t="s">
        <v>10</v>
      </c>
      <c r="F17" s="62" t="s">
        <v>10</v>
      </c>
    </row>
    <row r="18" spans="1:6" s="38" customFormat="1" ht="15.75" customHeight="1" x14ac:dyDescent="0.25">
      <c r="A18" s="45" t="s">
        <v>0</v>
      </c>
      <c r="B18" s="46" t="s">
        <v>16</v>
      </c>
      <c r="C18" s="43"/>
      <c r="D18" s="81">
        <f>C13</f>
        <v>3325</v>
      </c>
      <c r="E18" s="81">
        <f>C13</f>
        <v>3325</v>
      </c>
      <c r="F18" s="63">
        <f>C13</f>
        <v>3325</v>
      </c>
    </row>
    <row r="19" spans="1:6" s="38" customFormat="1" ht="15.75" customHeight="1" x14ac:dyDescent="0.25">
      <c r="A19" s="45" t="s">
        <v>2</v>
      </c>
      <c r="B19" s="46" t="s">
        <v>17</v>
      </c>
      <c r="C19" s="82"/>
      <c r="D19" s="83"/>
      <c r="E19" s="83"/>
      <c r="F19" s="64"/>
    </row>
    <row r="20" spans="1:6" s="38" customFormat="1" ht="15.75" customHeight="1" x14ac:dyDescent="0.25">
      <c r="A20" s="45" t="s">
        <v>3</v>
      </c>
      <c r="B20" s="46" t="s">
        <v>18</v>
      </c>
      <c r="C20" s="115" t="s">
        <v>244</v>
      </c>
      <c r="D20" s="83">
        <f>40%*1412</f>
        <v>564.79999999999995</v>
      </c>
      <c r="E20" s="83">
        <f>40%*1412</f>
        <v>564.79999999999995</v>
      </c>
      <c r="F20" s="64">
        <f>40%*1412</f>
        <v>564.79999999999995</v>
      </c>
    </row>
    <row r="21" spans="1:6" s="38" customFormat="1" ht="15.75" customHeight="1" x14ac:dyDescent="0.25">
      <c r="A21" s="45" t="s">
        <v>5</v>
      </c>
      <c r="B21" s="46" t="s">
        <v>19</v>
      </c>
      <c r="C21" s="82"/>
      <c r="D21" s="83"/>
      <c r="E21" s="83"/>
      <c r="F21" s="64"/>
    </row>
    <row r="22" spans="1:6" s="38" customFormat="1" ht="15.75" customHeight="1" x14ac:dyDescent="0.25">
      <c r="A22" s="45" t="s">
        <v>20</v>
      </c>
      <c r="B22" s="46" t="s">
        <v>203</v>
      </c>
      <c r="C22" s="82"/>
      <c r="D22" s="83"/>
      <c r="E22" s="83"/>
      <c r="F22" s="64"/>
    </row>
    <row r="23" spans="1:6" s="38" customFormat="1" x14ac:dyDescent="0.25">
      <c r="A23" s="45" t="s">
        <v>21</v>
      </c>
      <c r="B23" s="46" t="s">
        <v>138</v>
      </c>
      <c r="C23" s="49"/>
      <c r="D23" s="83"/>
      <c r="E23" s="83"/>
      <c r="F23" s="64"/>
    </row>
    <row r="24" spans="1:6" s="38" customFormat="1" ht="15.75" customHeight="1" x14ac:dyDescent="0.25">
      <c r="A24" s="45" t="s">
        <v>22</v>
      </c>
      <c r="B24" s="47" t="s">
        <v>139</v>
      </c>
      <c r="C24" s="49"/>
      <c r="D24" s="83"/>
      <c r="E24" s="83"/>
      <c r="F24" s="64"/>
    </row>
    <row r="25" spans="1:6" s="39" customFormat="1" ht="15.75" customHeight="1" x14ac:dyDescent="0.25">
      <c r="A25" s="418" t="s">
        <v>152</v>
      </c>
      <c r="B25" s="419"/>
      <c r="C25" s="419"/>
      <c r="D25" s="70">
        <f>SUM(D18:D24)</f>
        <v>3889.8</v>
      </c>
      <c r="E25" s="70">
        <f>SUM(E18:E24)</f>
        <v>3889.8</v>
      </c>
      <c r="F25" s="65">
        <f>SUM(F18:F24)</f>
        <v>3889.8</v>
      </c>
    </row>
    <row r="26" spans="1:6" s="39" customFormat="1" x14ac:dyDescent="0.25">
      <c r="A26" s="465" t="s">
        <v>51</v>
      </c>
      <c r="B26" s="466"/>
      <c r="C26" s="466"/>
      <c r="D26" s="295"/>
      <c r="E26" s="295"/>
      <c r="F26" s="297"/>
    </row>
    <row r="27" spans="1:6" s="38" customFormat="1" x14ac:dyDescent="0.25">
      <c r="A27" s="281" t="s">
        <v>141</v>
      </c>
      <c r="B27" s="420" t="s">
        <v>204</v>
      </c>
      <c r="C27" s="421"/>
      <c r="D27" s="74" t="s">
        <v>10</v>
      </c>
      <c r="E27" s="74" t="s">
        <v>10</v>
      </c>
      <c r="F27" s="165" t="s">
        <v>10</v>
      </c>
    </row>
    <row r="28" spans="1:6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324.02</v>
      </c>
      <c r="E28" s="84">
        <f>(E25)*C28</f>
        <v>324.02</v>
      </c>
      <c r="F28" s="66">
        <f>(F25)*C28</f>
        <v>324.02</v>
      </c>
    </row>
    <row r="29" spans="1:6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432.16</v>
      </c>
      <c r="E29" s="84">
        <f>(E25)*C29</f>
        <v>432.16</v>
      </c>
      <c r="F29" s="66">
        <f>(F25)*C29</f>
        <v>432.16</v>
      </c>
    </row>
    <row r="30" spans="1:6" x14ac:dyDescent="0.25">
      <c r="A30" s="416" t="s">
        <v>27</v>
      </c>
      <c r="B30" s="417"/>
      <c r="C30" s="99">
        <f>SUM(C28:C29)</f>
        <v>0.19439999999999999</v>
      </c>
      <c r="D30" s="86">
        <f>SUM(D28:D29)</f>
        <v>756.18</v>
      </c>
      <c r="E30" s="86">
        <f>SUM(E28:E29)</f>
        <v>756.18</v>
      </c>
      <c r="F30" s="67">
        <f>SUM(F28:F29)</f>
        <v>756.18</v>
      </c>
    </row>
    <row r="31" spans="1:6" ht="32.25" customHeight="1" x14ac:dyDescent="0.25">
      <c r="A31" s="424" t="s">
        <v>189</v>
      </c>
      <c r="B31" s="425"/>
      <c r="C31" s="425"/>
      <c r="D31" s="425"/>
      <c r="E31" s="425"/>
      <c r="F31" s="426"/>
    </row>
    <row r="32" spans="1:6" x14ac:dyDescent="0.25">
      <c r="A32" s="285" t="s">
        <v>141</v>
      </c>
      <c r="B32" s="422" t="s">
        <v>25</v>
      </c>
      <c r="C32" s="423"/>
      <c r="D32" s="291"/>
      <c r="E32" s="75"/>
      <c r="F32" s="172"/>
    </row>
    <row r="33" spans="1:6" x14ac:dyDescent="0.25">
      <c r="A33" s="50" t="s">
        <v>0</v>
      </c>
      <c r="B33" s="87" t="s">
        <v>206</v>
      </c>
      <c r="C33" s="59">
        <v>0.2</v>
      </c>
      <c r="D33" s="84">
        <f t="shared" ref="D33:D40" si="0">($E$25+D$30)*C33</f>
        <v>929.2</v>
      </c>
      <c r="E33" s="84">
        <f t="shared" ref="E33:E40" si="1">($E$25+E$30)*C33</f>
        <v>929.2</v>
      </c>
      <c r="F33" s="66">
        <f t="shared" ref="F33:F40" si="2">($E$25+F$30)*C33</f>
        <v>929.2</v>
      </c>
    </row>
    <row r="34" spans="1:6" x14ac:dyDescent="0.25">
      <c r="A34" s="50" t="s">
        <v>2</v>
      </c>
      <c r="B34" s="87" t="s">
        <v>207</v>
      </c>
      <c r="C34" s="88">
        <v>1.4999999999999999E-2</v>
      </c>
      <c r="D34" s="84">
        <f t="shared" si="0"/>
        <v>69.69</v>
      </c>
      <c r="E34" s="84">
        <f t="shared" si="1"/>
        <v>69.69</v>
      </c>
      <c r="F34" s="66">
        <f t="shared" si="2"/>
        <v>69.69</v>
      </c>
    </row>
    <row r="35" spans="1:6" x14ac:dyDescent="0.25">
      <c r="A35" s="50" t="s">
        <v>3</v>
      </c>
      <c r="B35" s="87" t="s">
        <v>208</v>
      </c>
      <c r="C35" s="88">
        <v>0.01</v>
      </c>
      <c r="D35" s="84">
        <f t="shared" si="0"/>
        <v>46.46</v>
      </c>
      <c r="E35" s="84">
        <f t="shared" si="1"/>
        <v>46.46</v>
      </c>
      <c r="F35" s="66">
        <f t="shared" si="2"/>
        <v>46.46</v>
      </c>
    </row>
    <row r="36" spans="1:6" ht="31.5" x14ac:dyDescent="0.25">
      <c r="A36" s="50" t="s">
        <v>5</v>
      </c>
      <c r="B36" s="287" t="s">
        <v>209</v>
      </c>
      <c r="C36" s="88">
        <v>2E-3</v>
      </c>
      <c r="D36" s="84">
        <f t="shared" si="0"/>
        <v>9.2899999999999991</v>
      </c>
      <c r="E36" s="84">
        <f t="shared" si="1"/>
        <v>9.2899999999999991</v>
      </c>
      <c r="F36" s="66">
        <f t="shared" si="2"/>
        <v>9.2899999999999991</v>
      </c>
    </row>
    <row r="37" spans="1:6" x14ac:dyDescent="0.25">
      <c r="A37" s="50" t="s">
        <v>20</v>
      </c>
      <c r="B37" s="87" t="s">
        <v>210</v>
      </c>
      <c r="C37" s="88">
        <v>2.5000000000000001E-2</v>
      </c>
      <c r="D37" s="84">
        <f t="shared" si="0"/>
        <v>116.15</v>
      </c>
      <c r="E37" s="84">
        <f t="shared" si="1"/>
        <v>116.15</v>
      </c>
      <c r="F37" s="66">
        <f t="shared" si="2"/>
        <v>116.15</v>
      </c>
    </row>
    <row r="38" spans="1:6" x14ac:dyDescent="0.25">
      <c r="A38" s="50" t="s">
        <v>21</v>
      </c>
      <c r="B38" s="114" t="s">
        <v>211</v>
      </c>
      <c r="C38" s="88">
        <v>0.08</v>
      </c>
      <c r="D38" s="84">
        <f t="shared" si="0"/>
        <v>371.68</v>
      </c>
      <c r="E38" s="84">
        <f t="shared" si="1"/>
        <v>371.68</v>
      </c>
      <c r="F38" s="66">
        <f t="shared" si="2"/>
        <v>371.68</v>
      </c>
    </row>
    <row r="39" spans="1:6" ht="47.25" x14ac:dyDescent="0.25">
      <c r="A39" s="50" t="s">
        <v>22</v>
      </c>
      <c r="B39" s="287" t="s">
        <v>212</v>
      </c>
      <c r="C39" s="88">
        <v>0.03</v>
      </c>
      <c r="D39" s="84">
        <f t="shared" si="0"/>
        <v>139.38</v>
      </c>
      <c r="E39" s="84">
        <f t="shared" si="1"/>
        <v>139.38</v>
      </c>
      <c r="F39" s="66">
        <f t="shared" si="2"/>
        <v>139.38</v>
      </c>
    </row>
    <row r="40" spans="1:6" x14ac:dyDescent="0.25">
      <c r="A40" s="50" t="s">
        <v>26</v>
      </c>
      <c r="B40" s="113" t="s">
        <v>213</v>
      </c>
      <c r="C40" s="88">
        <v>6.0000000000000001E-3</v>
      </c>
      <c r="D40" s="84">
        <f t="shared" si="0"/>
        <v>27.88</v>
      </c>
      <c r="E40" s="84">
        <f t="shared" si="1"/>
        <v>27.88</v>
      </c>
      <c r="F40" s="66">
        <f t="shared" si="2"/>
        <v>27.88</v>
      </c>
    </row>
    <row r="41" spans="1:6" s="30" customFormat="1" x14ac:dyDescent="0.25">
      <c r="A41" s="416" t="s">
        <v>27</v>
      </c>
      <c r="B41" s="417"/>
      <c r="C41" s="60">
        <f>SUM(C33:C40)</f>
        <v>0.36799999999999999</v>
      </c>
      <c r="D41" s="86">
        <f>SUM(D33:D40)</f>
        <v>1709.73</v>
      </c>
      <c r="E41" s="86">
        <f>SUM(E33:E40)</f>
        <v>1709.73</v>
      </c>
      <c r="F41" s="67">
        <f>SUM(F33:F40)</f>
        <v>1709.73</v>
      </c>
    </row>
    <row r="42" spans="1:6" s="30" customFormat="1" x14ac:dyDescent="0.25">
      <c r="A42" s="404" t="s">
        <v>173</v>
      </c>
      <c r="B42" s="405"/>
      <c r="C42" s="405"/>
      <c r="D42" s="298"/>
      <c r="E42" s="298"/>
      <c r="F42" s="300"/>
    </row>
    <row r="43" spans="1:6" s="30" customFormat="1" x14ac:dyDescent="0.25">
      <c r="A43" s="80" t="s">
        <v>215</v>
      </c>
      <c r="B43" s="414" t="s">
        <v>216</v>
      </c>
      <c r="C43" s="415"/>
      <c r="D43" s="292"/>
      <c r="E43" s="289"/>
      <c r="F43" s="303"/>
    </row>
    <row r="44" spans="1:6" s="30" customFormat="1" x14ac:dyDescent="0.25">
      <c r="A44" s="98" t="s">
        <v>0</v>
      </c>
      <c r="B44" s="56" t="s">
        <v>144</v>
      </c>
      <c r="C44" s="112"/>
      <c r="D44" s="160">
        <v>0</v>
      </c>
      <c r="E44" s="160">
        <v>0</v>
      </c>
      <c r="F44" s="256">
        <v>0</v>
      </c>
    </row>
    <row r="45" spans="1:6" s="30" customFormat="1" x14ac:dyDescent="0.25">
      <c r="A45" s="48" t="s">
        <v>2</v>
      </c>
      <c r="B45" s="47" t="s">
        <v>190</v>
      </c>
      <c r="C45" s="79"/>
      <c r="D45" s="160">
        <v>0</v>
      </c>
      <c r="E45" s="160">
        <v>0</v>
      </c>
      <c r="F45" s="256">
        <v>0</v>
      </c>
    </row>
    <row r="46" spans="1:6" s="30" customFormat="1" x14ac:dyDescent="0.25">
      <c r="A46" s="50" t="s">
        <v>3</v>
      </c>
      <c r="B46" s="51" t="s">
        <v>134</v>
      </c>
      <c r="C46" s="71"/>
      <c r="D46" s="160">
        <v>0</v>
      </c>
      <c r="E46" s="160">
        <v>0</v>
      </c>
      <c r="F46" s="256">
        <v>0</v>
      </c>
    </row>
    <row r="47" spans="1:6" s="30" customFormat="1" x14ac:dyDescent="0.25">
      <c r="A47" s="50" t="s">
        <v>5</v>
      </c>
      <c r="B47" s="51" t="s">
        <v>135</v>
      </c>
      <c r="C47" s="59"/>
      <c r="D47" s="160">
        <v>0</v>
      </c>
      <c r="E47" s="160">
        <v>0</v>
      </c>
      <c r="F47" s="256">
        <v>0</v>
      </c>
    </row>
    <row r="48" spans="1:6" s="30" customFormat="1" x14ac:dyDescent="0.25">
      <c r="A48" s="50" t="s">
        <v>20</v>
      </c>
      <c r="B48" s="51" t="s">
        <v>136</v>
      </c>
      <c r="C48" s="71"/>
      <c r="D48" s="160">
        <v>0</v>
      </c>
      <c r="E48" s="160">
        <v>0</v>
      </c>
      <c r="F48" s="256">
        <v>0</v>
      </c>
    </row>
    <row r="49" spans="1:6" s="30" customFormat="1" ht="15.75" customHeight="1" x14ac:dyDescent="0.25">
      <c r="A49" s="283" t="s">
        <v>23</v>
      </c>
      <c r="B49" s="284"/>
      <c r="C49" s="92"/>
      <c r="D49" s="86">
        <f>SUM(D44:D48)</f>
        <v>0</v>
      </c>
      <c r="E49" s="86">
        <f>SUM(E44:E48)</f>
        <v>0</v>
      </c>
      <c r="F49" s="67">
        <f>SUM(F44:F48)</f>
        <v>0</v>
      </c>
    </row>
    <row r="50" spans="1:6" s="30" customFormat="1" ht="15.75" customHeight="1" x14ac:dyDescent="0.25">
      <c r="A50" s="404" t="s">
        <v>223</v>
      </c>
      <c r="B50" s="405"/>
      <c r="C50" s="405"/>
      <c r="D50" s="298"/>
      <c r="E50" s="298"/>
      <c r="F50" s="300"/>
    </row>
    <row r="51" spans="1:6" s="30" customFormat="1" ht="15.75" customHeight="1" x14ac:dyDescent="0.25">
      <c r="A51" s="293" t="s">
        <v>141</v>
      </c>
      <c r="B51" s="109" t="s">
        <v>145</v>
      </c>
      <c r="C51" s="294"/>
      <c r="D51" s="69">
        <f>D30</f>
        <v>756.18</v>
      </c>
      <c r="E51" s="69">
        <f>E30</f>
        <v>756.18</v>
      </c>
      <c r="F51" s="176">
        <f>F30</f>
        <v>756.18</v>
      </c>
    </row>
    <row r="52" spans="1:6" s="30" customFormat="1" ht="15.75" customHeight="1" x14ac:dyDescent="0.25">
      <c r="A52" s="293" t="s">
        <v>214</v>
      </c>
      <c r="B52" s="109" t="s">
        <v>146</v>
      </c>
      <c r="C52" s="294"/>
      <c r="D52" s="69">
        <f>D41</f>
        <v>1709.73</v>
      </c>
      <c r="E52" s="69">
        <f>E41</f>
        <v>1709.73</v>
      </c>
      <c r="F52" s="176">
        <f>F41</f>
        <v>1709.73</v>
      </c>
    </row>
    <row r="53" spans="1:6" s="30" customFormat="1" ht="15.75" customHeight="1" x14ac:dyDescent="0.25">
      <c r="A53" s="293" t="s">
        <v>215</v>
      </c>
      <c r="B53" s="109" t="s">
        <v>147</v>
      </c>
      <c r="C53" s="294"/>
      <c r="D53" s="69">
        <f>D49</f>
        <v>0</v>
      </c>
      <c r="E53" s="69">
        <f>E49</f>
        <v>0</v>
      </c>
      <c r="F53" s="176">
        <f>F49</f>
        <v>0</v>
      </c>
    </row>
    <row r="54" spans="1:6" s="30" customFormat="1" ht="15.75" customHeight="1" x14ac:dyDescent="0.25">
      <c r="A54" s="418" t="s">
        <v>153</v>
      </c>
      <c r="B54" s="419"/>
      <c r="C54" s="419"/>
      <c r="D54" s="70">
        <f>SUM(D51:D53)</f>
        <v>2465.91</v>
      </c>
      <c r="E54" s="70">
        <f>SUM(E51:E53)</f>
        <v>2465.91</v>
      </c>
      <c r="F54" s="65">
        <f>SUM(F51:F53)</f>
        <v>2465.91</v>
      </c>
    </row>
    <row r="55" spans="1:6" s="30" customFormat="1" ht="15.75" customHeight="1" x14ac:dyDescent="0.25">
      <c r="A55" s="465" t="s">
        <v>162</v>
      </c>
      <c r="B55" s="466"/>
      <c r="C55" s="466"/>
      <c r="D55" s="295"/>
      <c r="E55" s="295"/>
      <c r="F55" s="297"/>
    </row>
    <row r="56" spans="1:6" s="30" customFormat="1" ht="15.75" customHeight="1" x14ac:dyDescent="0.25">
      <c r="A56" s="281" t="s">
        <v>199</v>
      </c>
      <c r="B56" s="420" t="s">
        <v>32</v>
      </c>
      <c r="C56" s="429"/>
      <c r="D56" s="74" t="s">
        <v>10</v>
      </c>
      <c r="E56" s="74" t="s">
        <v>10</v>
      </c>
      <c r="F56" s="165" t="s">
        <v>10</v>
      </c>
    </row>
    <row r="57" spans="1:6" s="30" customFormat="1" ht="15.75" customHeight="1" x14ac:dyDescent="0.25">
      <c r="A57" s="50" t="s">
        <v>0</v>
      </c>
      <c r="B57" s="51" t="s">
        <v>33</v>
      </c>
      <c r="C57" s="59">
        <v>4.5999999999999999E-3</v>
      </c>
      <c r="D57" s="84">
        <f>D$25*C57</f>
        <v>17.89</v>
      </c>
      <c r="E57" s="84">
        <f>E$25*C57</f>
        <v>17.89</v>
      </c>
      <c r="F57" s="66">
        <f>F$25*C57</f>
        <v>17.89</v>
      </c>
    </row>
    <row r="58" spans="1:6" s="30" customFormat="1" ht="15.75" customHeight="1" x14ac:dyDescent="0.25">
      <c r="A58" s="50" t="s">
        <v>2</v>
      </c>
      <c r="B58" s="51" t="s">
        <v>34</v>
      </c>
      <c r="C58" s="59">
        <v>4.0000000000000002E-4</v>
      </c>
      <c r="D58" s="84">
        <f>D$25*C58</f>
        <v>1.56</v>
      </c>
      <c r="E58" s="84">
        <f>E$25*C58</f>
        <v>1.56</v>
      </c>
      <c r="F58" s="66">
        <f>F$25*C58</f>
        <v>1.56</v>
      </c>
    </row>
    <row r="59" spans="1:6" s="30" customFormat="1" ht="15.75" customHeight="1" x14ac:dyDescent="0.25">
      <c r="A59" s="50" t="s">
        <v>3</v>
      </c>
      <c r="B59" s="54" t="s">
        <v>35</v>
      </c>
      <c r="C59" s="59">
        <v>1.9400000000000001E-2</v>
      </c>
      <c r="D59" s="84">
        <f>D$25*C59</f>
        <v>75.459999999999994</v>
      </c>
      <c r="E59" s="84">
        <f>E$25*C59</f>
        <v>75.459999999999994</v>
      </c>
      <c r="F59" s="66">
        <f>F$25*C59</f>
        <v>75.459999999999994</v>
      </c>
    </row>
    <row r="60" spans="1:6" s="30" customFormat="1" ht="30.75" customHeight="1" x14ac:dyDescent="0.25">
      <c r="A60" s="50" t="s">
        <v>5</v>
      </c>
      <c r="B60" s="51" t="s">
        <v>174</v>
      </c>
      <c r="C60" s="59">
        <v>7.1000000000000004E-3</v>
      </c>
      <c r="D60" s="84">
        <f>D$25*C60</f>
        <v>27.62</v>
      </c>
      <c r="E60" s="84">
        <f>E$25*C60</f>
        <v>27.62</v>
      </c>
      <c r="F60" s="66">
        <f>F$25*C60</f>
        <v>27.62</v>
      </c>
    </row>
    <row r="61" spans="1:6" s="30" customFormat="1" ht="15.75" customHeight="1" x14ac:dyDescent="0.25">
      <c r="A61" s="50" t="s">
        <v>20</v>
      </c>
      <c r="B61" s="51" t="s">
        <v>149</v>
      </c>
      <c r="C61" s="59">
        <v>0.04</v>
      </c>
      <c r="D61" s="84">
        <f>D$25*C61</f>
        <v>155.59</v>
      </c>
      <c r="E61" s="84">
        <f>E$25*C61</f>
        <v>155.59</v>
      </c>
      <c r="F61" s="66">
        <f>F$25*C61</f>
        <v>155.59</v>
      </c>
    </row>
    <row r="62" spans="1:6" s="30" customFormat="1" x14ac:dyDescent="0.25">
      <c r="A62" s="418" t="s">
        <v>154</v>
      </c>
      <c r="B62" s="419"/>
      <c r="C62" s="419"/>
      <c r="D62" s="70">
        <f>SUM(D57:D61)</f>
        <v>278.12</v>
      </c>
      <c r="E62" s="70">
        <f>SUM(E57:E61)</f>
        <v>278.12</v>
      </c>
      <c r="F62" s="65">
        <f>SUM(F57:F61)</f>
        <v>278.12</v>
      </c>
    </row>
    <row r="63" spans="1:6" s="30" customFormat="1" x14ac:dyDescent="0.25">
      <c r="A63" s="465" t="s">
        <v>163</v>
      </c>
      <c r="B63" s="466"/>
      <c r="C63" s="466"/>
      <c r="D63" s="295"/>
      <c r="E63" s="295"/>
      <c r="F63" s="297"/>
    </row>
    <row r="64" spans="1:6" s="30" customFormat="1" x14ac:dyDescent="0.25">
      <c r="A64" s="281" t="s">
        <v>198</v>
      </c>
      <c r="B64" s="430" t="s">
        <v>197</v>
      </c>
      <c r="C64" s="430"/>
      <c r="D64" s="74" t="s">
        <v>10</v>
      </c>
      <c r="E64" s="74" t="s">
        <v>10</v>
      </c>
      <c r="F64" s="165" t="s">
        <v>10</v>
      </c>
    </row>
    <row r="65" spans="1:6" s="30" customFormat="1" x14ac:dyDescent="0.25">
      <c r="A65" s="50" t="s">
        <v>0</v>
      </c>
      <c r="B65" s="51" t="s">
        <v>191</v>
      </c>
      <c r="C65" s="59">
        <v>9.2999999999999992E-3</v>
      </c>
      <c r="D65" s="84">
        <f t="shared" ref="D65:D70" si="3">(D$25+D$54+D$62+D$85)*C65</f>
        <v>62.04</v>
      </c>
      <c r="E65" s="84">
        <f t="shared" ref="E65:E70" si="4">(E$25+E$54+E$62+E$85)*C65</f>
        <v>62.04</v>
      </c>
      <c r="F65" s="66">
        <f t="shared" ref="F65:F70" si="5">(F$25+F$54+F$62+F$85)*C65</f>
        <v>62.04</v>
      </c>
    </row>
    <row r="66" spans="1:6" s="30" customFormat="1" x14ac:dyDescent="0.25">
      <c r="A66" s="50" t="s">
        <v>2</v>
      </c>
      <c r="B66" s="51" t="s">
        <v>192</v>
      </c>
      <c r="C66" s="59">
        <v>1.66E-2</v>
      </c>
      <c r="D66" s="84">
        <f t="shared" si="3"/>
        <v>110.73</v>
      </c>
      <c r="E66" s="84">
        <f t="shared" si="4"/>
        <v>110.73</v>
      </c>
      <c r="F66" s="66">
        <f t="shared" si="5"/>
        <v>110.73</v>
      </c>
    </row>
    <row r="67" spans="1:6" s="30" customFormat="1" x14ac:dyDescent="0.25">
      <c r="A67" s="50" t="s">
        <v>3</v>
      </c>
      <c r="B67" s="51" t="s">
        <v>193</v>
      </c>
      <c r="C67" s="59">
        <v>2.0000000000000001E-4</v>
      </c>
      <c r="D67" s="84">
        <f t="shared" si="3"/>
        <v>1.33</v>
      </c>
      <c r="E67" s="84">
        <f t="shared" si="4"/>
        <v>1.33</v>
      </c>
      <c r="F67" s="66">
        <f t="shared" si="5"/>
        <v>1.33</v>
      </c>
    </row>
    <row r="68" spans="1:6" s="30" customFormat="1" x14ac:dyDescent="0.25">
      <c r="A68" s="50" t="s">
        <v>5</v>
      </c>
      <c r="B68" s="51" t="s">
        <v>194</v>
      </c>
      <c r="C68" s="59">
        <v>2.7000000000000001E-3</v>
      </c>
      <c r="D68" s="84">
        <f t="shared" si="3"/>
        <v>18.010000000000002</v>
      </c>
      <c r="E68" s="84">
        <f t="shared" si="4"/>
        <v>18.010000000000002</v>
      </c>
      <c r="F68" s="66">
        <f t="shared" si="5"/>
        <v>18.010000000000002</v>
      </c>
    </row>
    <row r="69" spans="1:6" s="30" customFormat="1" x14ac:dyDescent="0.25">
      <c r="A69" s="50" t="s">
        <v>20</v>
      </c>
      <c r="B69" s="51" t="s">
        <v>195</v>
      </c>
      <c r="C69" s="59">
        <v>2.9999999999999997E-4</v>
      </c>
      <c r="D69" s="84">
        <f t="shared" si="3"/>
        <v>2</v>
      </c>
      <c r="E69" s="84">
        <f t="shared" si="4"/>
        <v>2</v>
      </c>
      <c r="F69" s="66">
        <f t="shared" si="5"/>
        <v>2</v>
      </c>
    </row>
    <row r="70" spans="1:6" s="30" customFormat="1" ht="15.75" customHeight="1" x14ac:dyDescent="0.25">
      <c r="A70" s="50" t="s">
        <v>21</v>
      </c>
      <c r="B70" s="282" t="s">
        <v>196</v>
      </c>
      <c r="C70" s="59">
        <v>0</v>
      </c>
      <c r="D70" s="84">
        <f t="shared" si="3"/>
        <v>0</v>
      </c>
      <c r="E70" s="84">
        <f t="shared" si="4"/>
        <v>0</v>
      </c>
      <c r="F70" s="66">
        <f t="shared" si="5"/>
        <v>0</v>
      </c>
    </row>
    <row r="71" spans="1:6" s="30" customFormat="1" x14ac:dyDescent="0.25">
      <c r="A71" s="416" t="s">
        <v>29</v>
      </c>
      <c r="B71" s="417"/>
      <c r="C71" s="60">
        <f>SUM(C65:C70)</f>
        <v>2.9100000000000001E-2</v>
      </c>
      <c r="D71" s="86">
        <f>SUM(D65:D70)</f>
        <v>194.11</v>
      </c>
      <c r="E71" s="86">
        <f>SUM(E65:E70)</f>
        <v>194.11</v>
      </c>
      <c r="F71" s="67">
        <f>SUM(F65:F70)</f>
        <v>194.11</v>
      </c>
    </row>
    <row r="72" spans="1:6" s="30" customFormat="1" x14ac:dyDescent="0.25">
      <c r="A72" s="293"/>
      <c r="B72" s="294"/>
      <c r="C72" s="100"/>
      <c r="D72" s="100"/>
      <c r="E72" s="81"/>
      <c r="F72" s="304"/>
    </row>
    <row r="73" spans="1:6" s="30" customFormat="1" x14ac:dyDescent="0.25">
      <c r="A73" s="293"/>
      <c r="B73" s="406" t="s">
        <v>200</v>
      </c>
      <c r="C73" s="431"/>
      <c r="D73" s="74" t="s">
        <v>10</v>
      </c>
      <c r="E73" s="74" t="s">
        <v>10</v>
      </c>
      <c r="F73" s="165" t="s">
        <v>10</v>
      </c>
    </row>
    <row r="74" spans="1:6" s="30" customFormat="1" x14ac:dyDescent="0.25">
      <c r="A74" s="50" t="s">
        <v>0</v>
      </c>
      <c r="B74" s="51" t="s">
        <v>201</v>
      </c>
      <c r="C74" s="59">
        <v>0</v>
      </c>
      <c r="D74" s="84">
        <f>(D$25+D$54+D$62)*C74</f>
        <v>0</v>
      </c>
      <c r="E74" s="84">
        <f>(E$25+E$54+E$62)*C74</f>
        <v>0</v>
      </c>
      <c r="F74" s="66">
        <f>(F$25+F$54+F$62)*C74</f>
        <v>0</v>
      </c>
    </row>
    <row r="75" spans="1:6" s="30" customFormat="1" ht="15.75" customHeight="1" x14ac:dyDescent="0.25">
      <c r="A75" s="416" t="s">
        <v>27</v>
      </c>
      <c r="B75" s="417"/>
      <c r="C75" s="101">
        <f>C74</f>
        <v>0</v>
      </c>
      <c r="D75" s="86">
        <f>D74</f>
        <v>0</v>
      </c>
      <c r="E75" s="86">
        <f>E74</f>
        <v>0</v>
      </c>
      <c r="F75" s="67">
        <f>F74</f>
        <v>0</v>
      </c>
    </row>
    <row r="76" spans="1:6" s="30" customFormat="1" ht="15.75" customHeight="1" x14ac:dyDescent="0.25">
      <c r="A76" s="404" t="s">
        <v>30</v>
      </c>
      <c r="B76" s="405"/>
      <c r="C76" s="405"/>
      <c r="D76" s="298"/>
      <c r="E76" s="298"/>
      <c r="F76" s="300"/>
    </row>
    <row r="77" spans="1:6" s="30" customFormat="1" ht="15.75" customHeight="1" x14ac:dyDescent="0.25">
      <c r="A77" s="472" t="s">
        <v>202</v>
      </c>
      <c r="B77" s="473"/>
      <c r="C77" s="473"/>
      <c r="D77" s="106"/>
      <c r="E77" s="106"/>
      <c r="F77" s="302"/>
    </row>
    <row r="78" spans="1:6" s="30" customFormat="1" ht="15.75" customHeight="1" x14ac:dyDescent="0.25">
      <c r="A78" s="281">
        <v>4</v>
      </c>
      <c r="B78" s="420" t="s">
        <v>31</v>
      </c>
      <c r="C78" s="429"/>
      <c r="D78" s="74" t="s">
        <v>10</v>
      </c>
      <c r="E78" s="74" t="s">
        <v>10</v>
      </c>
      <c r="F78" s="165" t="s">
        <v>10</v>
      </c>
    </row>
    <row r="79" spans="1:6" s="30" customFormat="1" ht="15.75" customHeight="1" x14ac:dyDescent="0.25">
      <c r="A79" s="50" t="s">
        <v>198</v>
      </c>
      <c r="B79" s="282" t="s">
        <v>197</v>
      </c>
      <c r="C79" s="59">
        <f>C71</f>
        <v>2.9100000000000001E-2</v>
      </c>
      <c r="D79" s="84">
        <f>D71</f>
        <v>194.11</v>
      </c>
      <c r="E79" s="84">
        <f>E71</f>
        <v>194.11</v>
      </c>
      <c r="F79" s="66">
        <f>F71</f>
        <v>194.11</v>
      </c>
    </row>
    <row r="80" spans="1:6" s="30" customFormat="1" ht="15.75" customHeight="1" x14ac:dyDescent="0.25">
      <c r="A80" s="50" t="s">
        <v>220</v>
      </c>
      <c r="B80" s="282" t="s">
        <v>200</v>
      </c>
      <c r="C80" s="59">
        <v>0</v>
      </c>
      <c r="D80" s="84">
        <f>(D$25+D$54+D$62)*C80</f>
        <v>0</v>
      </c>
      <c r="E80" s="84">
        <f>(E$25+E$54+E$62)*C80</f>
        <v>0</v>
      </c>
      <c r="F80" s="66">
        <f>(F$25+F$54+F$62)*C80</f>
        <v>0</v>
      </c>
    </row>
    <row r="81" spans="1:6" s="30" customFormat="1" ht="15.75" customHeight="1" x14ac:dyDescent="0.25">
      <c r="A81" s="416" t="s">
        <v>27</v>
      </c>
      <c r="B81" s="417"/>
      <c r="C81" s="99">
        <f>SUM(C79:C80)</f>
        <v>2.9100000000000001E-2</v>
      </c>
      <c r="D81" s="86">
        <f>SUM(D79:D80)</f>
        <v>194.11</v>
      </c>
      <c r="E81" s="86">
        <f>SUM(E79:E80)</f>
        <v>194.11</v>
      </c>
      <c r="F81" s="67">
        <f>SUM(F79:F80)</f>
        <v>194.11</v>
      </c>
    </row>
    <row r="82" spans="1:6" s="30" customFormat="1" ht="15.75" customHeight="1" x14ac:dyDescent="0.25">
      <c r="A82" s="418" t="s">
        <v>155</v>
      </c>
      <c r="B82" s="419"/>
      <c r="C82" s="419"/>
      <c r="D82" s="70">
        <f>SUM(D75+D81)</f>
        <v>194.11</v>
      </c>
      <c r="E82" s="70">
        <f>SUM(E75+E81)</f>
        <v>194.11</v>
      </c>
      <c r="F82" s="65">
        <f>SUM(F75+F81)</f>
        <v>194.11</v>
      </c>
    </row>
    <row r="83" spans="1:6" s="30" customFormat="1" ht="15.75" customHeight="1" x14ac:dyDescent="0.25">
      <c r="A83" s="465" t="s">
        <v>164</v>
      </c>
      <c r="B83" s="466"/>
      <c r="C83" s="466"/>
      <c r="D83" s="295"/>
      <c r="E83" s="295"/>
      <c r="F83" s="297"/>
    </row>
    <row r="84" spans="1:6" s="30" customFormat="1" ht="15.75" customHeight="1" x14ac:dyDescent="0.25">
      <c r="A84" s="281">
        <v>5</v>
      </c>
      <c r="B84" s="420" t="s">
        <v>24</v>
      </c>
      <c r="C84" s="429"/>
      <c r="D84" s="74" t="s">
        <v>10</v>
      </c>
      <c r="E84" s="74" t="s">
        <v>10</v>
      </c>
      <c r="F84" s="165" t="s">
        <v>10</v>
      </c>
    </row>
    <row r="85" spans="1:6" s="30" customFormat="1" ht="15.75" customHeight="1" x14ac:dyDescent="0.25">
      <c r="A85" s="48" t="s">
        <v>0</v>
      </c>
      <c r="B85" s="434" t="s">
        <v>221</v>
      </c>
      <c r="C85" s="434"/>
      <c r="D85" s="84">
        <f>Uniformes!H7</f>
        <v>36.61</v>
      </c>
      <c r="E85" s="84">
        <f>Uniformes!H7</f>
        <v>36.61</v>
      </c>
      <c r="F85" s="66">
        <f>Uniformes!H7</f>
        <v>36.61</v>
      </c>
    </row>
    <row r="86" spans="1:6" s="30" customFormat="1" ht="15.75" customHeight="1" x14ac:dyDescent="0.25">
      <c r="A86" s="231" t="s">
        <v>2</v>
      </c>
      <c r="B86" s="435" t="s">
        <v>222</v>
      </c>
      <c r="C86" s="435"/>
      <c r="D86" s="227">
        <f>Materiais!H18</f>
        <v>64.819999999999993</v>
      </c>
      <c r="E86" s="227">
        <f>Materiais!H21</f>
        <v>129.65</v>
      </c>
      <c r="F86" s="228">
        <f>Materiais!H22</f>
        <v>129.65</v>
      </c>
    </row>
    <row r="87" spans="1:6" s="30" customFormat="1" ht="15.75" customHeight="1" x14ac:dyDescent="0.25">
      <c r="A87" s="231" t="s">
        <v>3</v>
      </c>
      <c r="B87" s="435" t="s">
        <v>187</v>
      </c>
      <c r="C87" s="435"/>
      <c r="D87" s="229">
        <f>Equipamentos!H18</f>
        <v>1312.5</v>
      </c>
      <c r="E87" s="229">
        <f>Equipamentos!H21</f>
        <v>2625</v>
      </c>
      <c r="F87" s="230">
        <f>Equipamentos!H22</f>
        <v>2625</v>
      </c>
    </row>
    <row r="88" spans="1:6" s="30" customFormat="1" ht="15.75" customHeight="1" x14ac:dyDescent="0.25">
      <c r="A88" s="48" t="s">
        <v>5</v>
      </c>
      <c r="B88" s="434" t="s">
        <v>137</v>
      </c>
      <c r="C88" s="434"/>
      <c r="D88" s="84">
        <v>0</v>
      </c>
      <c r="E88" s="84">
        <v>0</v>
      </c>
      <c r="F88" s="66">
        <v>0</v>
      </c>
    </row>
    <row r="89" spans="1:6" s="30" customFormat="1" ht="15.75" customHeight="1" x14ac:dyDescent="0.25">
      <c r="A89" s="418" t="s">
        <v>156</v>
      </c>
      <c r="B89" s="419"/>
      <c r="C89" s="419"/>
      <c r="D89" s="70">
        <f>SUM(D85:D88)</f>
        <v>1413.93</v>
      </c>
      <c r="E89" s="70">
        <f>SUM(E85:E88)</f>
        <v>2791.26</v>
      </c>
      <c r="F89" s="65">
        <f>SUM(F85:F88)</f>
        <v>2791.26</v>
      </c>
    </row>
    <row r="90" spans="1:6" s="30" customFormat="1" ht="30" customHeight="1" x14ac:dyDescent="0.25">
      <c r="A90" s="427" t="s">
        <v>224</v>
      </c>
      <c r="B90" s="428"/>
      <c r="C90" s="428"/>
      <c r="D90" s="161">
        <f>D89+D82+D62+D54+D25</f>
        <v>8241.8700000000008</v>
      </c>
      <c r="E90" s="161">
        <f>E89+E82+E62+E54+E25</f>
        <v>9619.2000000000007</v>
      </c>
      <c r="F90" s="184">
        <f>F89+F82+F62+F54+F25</f>
        <v>9619.2000000000007</v>
      </c>
    </row>
    <row r="91" spans="1:6" s="30" customFormat="1" ht="19.5" customHeight="1" x14ac:dyDescent="0.25">
      <c r="A91" s="465" t="s">
        <v>165</v>
      </c>
      <c r="B91" s="466"/>
      <c r="C91" s="466"/>
      <c r="D91" s="295"/>
      <c r="E91" s="295"/>
      <c r="F91" s="297"/>
    </row>
    <row r="92" spans="1:6" s="30" customFormat="1" x14ac:dyDescent="0.25">
      <c r="A92" s="281">
        <v>6</v>
      </c>
      <c r="B92" s="420" t="s">
        <v>38</v>
      </c>
      <c r="C92" s="421"/>
      <c r="D92" s="74" t="s">
        <v>10</v>
      </c>
      <c r="E92" s="74" t="s">
        <v>10</v>
      </c>
      <c r="F92" s="165" t="s">
        <v>10</v>
      </c>
    </row>
    <row r="93" spans="1:6" s="30" customFormat="1" x14ac:dyDescent="0.25">
      <c r="A93" s="281" t="s">
        <v>0</v>
      </c>
      <c r="B93" s="51" t="s">
        <v>39</v>
      </c>
      <c r="C93" s="59">
        <v>0.03</v>
      </c>
      <c r="D93" s="84">
        <f>+D90*C93</f>
        <v>247.26</v>
      </c>
      <c r="E93" s="84">
        <f>+E90*C93</f>
        <v>288.58</v>
      </c>
      <c r="F93" s="66">
        <f>+F90*C93</f>
        <v>288.58</v>
      </c>
    </row>
    <row r="94" spans="1:6" s="30" customFormat="1" x14ac:dyDescent="0.25">
      <c r="A94" s="281" t="s">
        <v>2</v>
      </c>
      <c r="B94" s="51" t="s">
        <v>40</v>
      </c>
      <c r="C94" s="59">
        <v>6.7900000000000002E-2</v>
      </c>
      <c r="D94" s="84">
        <f>C94*(+D90+D93)</f>
        <v>576.41</v>
      </c>
      <c r="E94" s="84">
        <f>C94*(+E90+E93)</f>
        <v>672.74</v>
      </c>
      <c r="F94" s="66">
        <f>C94*(+F90+F93)</f>
        <v>672.74</v>
      </c>
    </row>
    <row r="95" spans="1:6" s="30" customFormat="1" ht="31.5" x14ac:dyDescent="0.25">
      <c r="A95" s="436" t="s">
        <v>3</v>
      </c>
      <c r="B95" s="51" t="s">
        <v>50</v>
      </c>
      <c r="C95" s="59">
        <f>1-C103</f>
        <v>0.85750000000000004</v>
      </c>
      <c r="D95" s="84">
        <f>+D90+D93+D94</f>
        <v>9065.5400000000009</v>
      </c>
      <c r="E95" s="84">
        <f>+E90+E93+E94</f>
        <v>10580.52</v>
      </c>
      <c r="F95" s="66">
        <f>+F90+F93+F94</f>
        <v>10580.52</v>
      </c>
    </row>
    <row r="96" spans="1:6" s="30" customFormat="1" x14ac:dyDescent="0.25">
      <c r="A96" s="436"/>
      <c r="B96" s="282" t="s">
        <v>41</v>
      </c>
      <c r="C96" s="95"/>
      <c r="D96" s="162">
        <f>+D95/C95</f>
        <v>10572.06</v>
      </c>
      <c r="E96" s="162">
        <f>+E95/C95</f>
        <v>12338.8</v>
      </c>
      <c r="F96" s="185">
        <f>+F95/C95</f>
        <v>12338.8</v>
      </c>
    </row>
    <row r="97" spans="1:6" s="30" customFormat="1" x14ac:dyDescent="0.25">
      <c r="A97" s="436"/>
      <c r="B97" s="282" t="s">
        <v>42</v>
      </c>
      <c r="C97" s="72"/>
      <c r="D97" s="84"/>
      <c r="E97" s="84"/>
      <c r="F97" s="66"/>
    </row>
    <row r="98" spans="1:6" s="30" customFormat="1" x14ac:dyDescent="0.25">
      <c r="A98" s="436"/>
      <c r="B98" s="51" t="s">
        <v>130</v>
      </c>
      <c r="C98" s="59">
        <v>1.6500000000000001E-2</v>
      </c>
      <c r="D98" s="84">
        <f>+D96*C98</f>
        <v>174.44</v>
      </c>
      <c r="E98" s="84">
        <f>+E96*C98</f>
        <v>203.59</v>
      </c>
      <c r="F98" s="66">
        <f>+F96*C98</f>
        <v>203.59</v>
      </c>
    </row>
    <row r="99" spans="1:6" s="30" customFormat="1" x14ac:dyDescent="0.25">
      <c r="A99" s="436"/>
      <c r="B99" s="51" t="s">
        <v>131</v>
      </c>
      <c r="C99" s="59">
        <v>7.5999999999999998E-2</v>
      </c>
      <c r="D99" s="84">
        <f>+D96*C99</f>
        <v>803.48</v>
      </c>
      <c r="E99" s="84">
        <f>+E96*C99</f>
        <v>937.75</v>
      </c>
      <c r="F99" s="66">
        <f>+F96*C99</f>
        <v>937.75</v>
      </c>
    </row>
    <row r="100" spans="1:6" s="30" customFormat="1" x14ac:dyDescent="0.25">
      <c r="A100" s="436"/>
      <c r="B100" s="53" t="s">
        <v>43</v>
      </c>
      <c r="C100" s="95"/>
      <c r="D100" s="84"/>
      <c r="E100" s="84"/>
      <c r="F100" s="66"/>
    </row>
    <row r="101" spans="1:6" s="30" customFormat="1" x14ac:dyDescent="0.25">
      <c r="A101" s="436"/>
      <c r="B101" s="53" t="s">
        <v>44</v>
      </c>
      <c r="C101" s="102"/>
      <c r="D101" s="84"/>
      <c r="E101" s="84"/>
      <c r="F101" s="66"/>
    </row>
    <row r="102" spans="1:6" s="30" customFormat="1" x14ac:dyDescent="0.25">
      <c r="A102" s="436"/>
      <c r="B102" s="51" t="s">
        <v>142</v>
      </c>
      <c r="C102" s="59">
        <v>0.05</v>
      </c>
      <c r="D102" s="84">
        <f>+D96*C102</f>
        <v>528.6</v>
      </c>
      <c r="E102" s="84">
        <f>+E96*C102</f>
        <v>616.94000000000005</v>
      </c>
      <c r="F102" s="66">
        <f>+F96*C102</f>
        <v>616.94000000000005</v>
      </c>
    </row>
    <row r="103" spans="1:6" s="30" customFormat="1" x14ac:dyDescent="0.25">
      <c r="A103" s="281"/>
      <c r="B103" s="106" t="s">
        <v>45</v>
      </c>
      <c r="C103" s="107">
        <f>SUM(C98:C102)</f>
        <v>0.14249999999999999</v>
      </c>
      <c r="D103" s="108">
        <f>SUM(D98:D102)</f>
        <v>1506.52</v>
      </c>
      <c r="E103" s="108">
        <f>SUM(E98:E102)</f>
        <v>1758.28</v>
      </c>
      <c r="F103" s="179">
        <f>SUM(F98:F102)</f>
        <v>1758.28</v>
      </c>
    </row>
    <row r="104" spans="1:6" s="30" customFormat="1" ht="15.75" customHeight="1" x14ac:dyDescent="0.25">
      <c r="A104" s="416" t="s">
        <v>46</v>
      </c>
      <c r="B104" s="417"/>
      <c r="C104" s="417"/>
      <c r="D104" s="86">
        <f>+D93+D94+D103</f>
        <v>2330.19</v>
      </c>
      <c r="E104" s="86">
        <f>+E93+E94+E103</f>
        <v>2719.6</v>
      </c>
      <c r="F104" s="67">
        <f>+F93+F94+F103</f>
        <v>2719.6</v>
      </c>
    </row>
    <row r="105" spans="1:6" s="30" customFormat="1" ht="15.75" customHeight="1" x14ac:dyDescent="0.25">
      <c r="A105" s="454" t="s">
        <v>47</v>
      </c>
      <c r="B105" s="455"/>
      <c r="C105" s="455"/>
      <c r="D105" s="163" t="s">
        <v>10</v>
      </c>
      <c r="E105" s="163" t="s">
        <v>10</v>
      </c>
      <c r="F105" s="186" t="s">
        <v>10</v>
      </c>
    </row>
    <row r="106" spans="1:6" s="30" customFormat="1" x14ac:dyDescent="0.25">
      <c r="A106" s="50" t="s">
        <v>0</v>
      </c>
      <c r="B106" s="438" t="s">
        <v>48</v>
      </c>
      <c r="C106" s="438"/>
      <c r="D106" s="84">
        <f>+D25</f>
        <v>3889.8</v>
      </c>
      <c r="E106" s="84">
        <f>+E25</f>
        <v>3889.8</v>
      </c>
      <c r="F106" s="66">
        <f>+F25</f>
        <v>3889.8</v>
      </c>
    </row>
    <row r="107" spans="1:6" s="30" customFormat="1" x14ac:dyDescent="0.25">
      <c r="A107" s="50" t="s">
        <v>2</v>
      </c>
      <c r="B107" s="438" t="s">
        <v>159</v>
      </c>
      <c r="C107" s="438"/>
      <c r="D107" s="84">
        <f>+D54</f>
        <v>2465.91</v>
      </c>
      <c r="E107" s="84">
        <f>+E54</f>
        <v>2465.91</v>
      </c>
      <c r="F107" s="66">
        <f>+F54</f>
        <v>2465.91</v>
      </c>
    </row>
    <row r="108" spans="1:6" s="30" customFormat="1" x14ac:dyDescent="0.25">
      <c r="A108" s="50" t="s">
        <v>3</v>
      </c>
      <c r="B108" s="438" t="s">
        <v>157</v>
      </c>
      <c r="C108" s="438"/>
      <c r="D108" s="84">
        <f>D62</f>
        <v>278.12</v>
      </c>
      <c r="E108" s="84">
        <f>E62</f>
        <v>278.12</v>
      </c>
      <c r="F108" s="66">
        <f>F62</f>
        <v>278.12</v>
      </c>
    </row>
    <row r="109" spans="1:6" s="30" customFormat="1" x14ac:dyDescent="0.25">
      <c r="A109" s="50" t="s">
        <v>5</v>
      </c>
      <c r="B109" s="438" t="s">
        <v>150</v>
      </c>
      <c r="C109" s="438"/>
      <c r="D109" s="84">
        <f>D82</f>
        <v>194.11</v>
      </c>
      <c r="E109" s="84">
        <f>E82</f>
        <v>194.11</v>
      </c>
      <c r="F109" s="66">
        <f>F82</f>
        <v>194.11</v>
      </c>
    </row>
    <row r="110" spans="1:6" s="30" customFormat="1" x14ac:dyDescent="0.25">
      <c r="A110" s="50" t="s">
        <v>20</v>
      </c>
      <c r="B110" s="438" t="s">
        <v>158</v>
      </c>
      <c r="C110" s="438"/>
      <c r="D110" s="84">
        <f>D89</f>
        <v>1413.93</v>
      </c>
      <c r="E110" s="84">
        <f>E89</f>
        <v>2791.26</v>
      </c>
      <c r="F110" s="66">
        <f>F89</f>
        <v>2791.26</v>
      </c>
    </row>
    <row r="111" spans="1:6" s="30" customFormat="1" ht="15.75" customHeight="1" x14ac:dyDescent="0.25">
      <c r="A111" s="436" t="s">
        <v>160</v>
      </c>
      <c r="B111" s="437"/>
      <c r="C111" s="437"/>
      <c r="D111" s="108">
        <f>SUM(D106:D110)</f>
        <v>8241.8700000000008</v>
      </c>
      <c r="E111" s="108">
        <f>SUM(E106:E110)</f>
        <v>9619.2000000000007</v>
      </c>
      <c r="F111" s="179">
        <f>SUM(F106:F110)</f>
        <v>9619.2000000000007</v>
      </c>
    </row>
    <row r="112" spans="1:6" s="30" customFormat="1" x14ac:dyDescent="0.25">
      <c r="A112" s="281" t="s">
        <v>20</v>
      </c>
      <c r="B112" s="438" t="s">
        <v>161</v>
      </c>
      <c r="C112" s="438"/>
      <c r="D112" s="84">
        <f>+D104</f>
        <v>2330.19</v>
      </c>
      <c r="E112" s="84">
        <f>+E104</f>
        <v>2719.6</v>
      </c>
      <c r="F112" s="66">
        <f>+F104</f>
        <v>2719.6</v>
      </c>
    </row>
    <row r="113" spans="1:6" s="30" customFormat="1" ht="16.5" customHeight="1" thickBot="1" x14ac:dyDescent="0.3">
      <c r="A113" s="439" t="s">
        <v>49</v>
      </c>
      <c r="B113" s="440"/>
      <c r="C113" s="440"/>
      <c r="D113" s="164">
        <f>+D111+D112</f>
        <v>10572.06</v>
      </c>
      <c r="E113" s="164">
        <f>+E111+E112</f>
        <v>12338.8</v>
      </c>
      <c r="F113" s="187">
        <f>+F111+F112</f>
        <v>12338.8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129</v>
      </c>
    </row>
    <row r="117" spans="1:6" x14ac:dyDescent="0.25">
      <c r="B117" s="28"/>
      <c r="C117" s="441"/>
      <c r="D117" s="441"/>
      <c r="E117" s="441"/>
      <c r="F117" s="441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4">
    <mergeCell ref="A111:C111"/>
    <mergeCell ref="B112:C112"/>
    <mergeCell ref="A113:C113"/>
    <mergeCell ref="C117:F117"/>
    <mergeCell ref="A105:C105"/>
    <mergeCell ref="B106:C106"/>
    <mergeCell ref="B107:C107"/>
    <mergeCell ref="B108:C108"/>
    <mergeCell ref="B109:C109"/>
    <mergeCell ref="B110:C110"/>
    <mergeCell ref="A104:C104"/>
    <mergeCell ref="B84:C84"/>
    <mergeCell ref="B85:C85"/>
    <mergeCell ref="B86:C86"/>
    <mergeCell ref="B87:C87"/>
    <mergeCell ref="B88:C88"/>
    <mergeCell ref="A89:C89"/>
    <mergeCell ref="A90:C90"/>
    <mergeCell ref="B92:C92"/>
    <mergeCell ref="A95:A102"/>
    <mergeCell ref="A83:C83"/>
    <mergeCell ref="A91:C91"/>
    <mergeCell ref="A82:C82"/>
    <mergeCell ref="B56:C56"/>
    <mergeCell ref="A62:C62"/>
    <mergeCell ref="B64:C64"/>
    <mergeCell ref="A71:B71"/>
    <mergeCell ref="B73:C73"/>
    <mergeCell ref="A75:B75"/>
    <mergeCell ref="B78:C78"/>
    <mergeCell ref="A81:B81"/>
    <mergeCell ref="A63:C63"/>
    <mergeCell ref="A76:C76"/>
    <mergeCell ref="A77:C77"/>
    <mergeCell ref="A26:C26"/>
    <mergeCell ref="A42:C42"/>
    <mergeCell ref="A50:C50"/>
    <mergeCell ref="A25:C25"/>
    <mergeCell ref="B27:C27"/>
    <mergeCell ref="A30:B30"/>
    <mergeCell ref="A31:F31"/>
    <mergeCell ref="B32:C32"/>
    <mergeCell ref="A55:C55"/>
    <mergeCell ref="B17:C17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D11:F11"/>
    <mergeCell ref="A41:B41"/>
    <mergeCell ref="B43:C43"/>
    <mergeCell ref="A54:C54"/>
    <mergeCell ref="C6:F6"/>
    <mergeCell ref="A1:F1"/>
    <mergeCell ref="A2:F2"/>
    <mergeCell ref="A3:F3"/>
    <mergeCell ref="C4:F4"/>
    <mergeCell ref="C5:F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>
    <pageSetUpPr fitToPage="1"/>
  </sheetPr>
  <dimension ref="A1:D125"/>
  <sheetViews>
    <sheetView view="pageBreakPreview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3" width="15.7109375" style="32" customWidth="1"/>
    <col min="4" max="4" width="15.7109375" style="37" customWidth="1"/>
    <col min="5" max="5" width="9.140625" style="28" customWidth="1"/>
    <col min="6" max="16384" width="9.140625" style="28"/>
  </cols>
  <sheetData>
    <row r="1" spans="1:4" x14ac:dyDescent="0.25">
      <c r="A1" s="393"/>
      <c r="B1" s="394"/>
      <c r="C1" s="394"/>
      <c r="D1" s="395"/>
    </row>
    <row r="2" spans="1:4" s="38" customFormat="1" ht="16.5" customHeight="1" x14ac:dyDescent="0.25">
      <c r="A2" s="396" t="s">
        <v>132</v>
      </c>
      <c r="B2" s="397"/>
      <c r="C2" s="397"/>
      <c r="D2" s="398"/>
    </row>
    <row r="3" spans="1:4" s="38" customFormat="1" x14ac:dyDescent="0.25">
      <c r="A3" s="399" t="s">
        <v>129</v>
      </c>
      <c r="B3" s="400"/>
      <c r="C3" s="400"/>
      <c r="D3" s="401"/>
    </row>
    <row r="4" spans="1:4" s="38" customFormat="1" ht="15" customHeight="1" x14ac:dyDescent="0.25">
      <c r="A4" s="40" t="s">
        <v>0</v>
      </c>
      <c r="B4" s="41" t="s">
        <v>1</v>
      </c>
      <c r="C4" s="402">
        <v>2024</v>
      </c>
      <c r="D4" s="403"/>
    </row>
    <row r="5" spans="1:4" s="38" customFormat="1" ht="129.94999999999999" customHeight="1" x14ac:dyDescent="0.25">
      <c r="A5" s="40" t="s">
        <v>2</v>
      </c>
      <c r="B5" s="41" t="s">
        <v>140</v>
      </c>
      <c r="C5" s="391" t="s">
        <v>268</v>
      </c>
      <c r="D5" s="392"/>
    </row>
    <row r="6" spans="1:4" s="38" customFormat="1" ht="15.75" customHeight="1" x14ac:dyDescent="0.25">
      <c r="A6" s="40" t="s">
        <v>3</v>
      </c>
      <c r="B6" s="41" t="s">
        <v>4</v>
      </c>
      <c r="C6" s="391" t="s">
        <v>271</v>
      </c>
      <c r="D6" s="392"/>
    </row>
    <row r="7" spans="1:4" s="38" customFormat="1" x14ac:dyDescent="0.25">
      <c r="A7" s="40" t="s">
        <v>5</v>
      </c>
      <c r="B7" s="41" t="s">
        <v>143</v>
      </c>
      <c r="C7" s="391">
        <v>12</v>
      </c>
      <c r="D7" s="392"/>
    </row>
    <row r="8" spans="1:4" s="38" customFormat="1" x14ac:dyDescent="0.25">
      <c r="A8" s="399" t="s">
        <v>6</v>
      </c>
      <c r="B8" s="400"/>
      <c r="C8" s="400"/>
      <c r="D8" s="401"/>
    </row>
    <row r="9" spans="1:4" s="38" customFormat="1" x14ac:dyDescent="0.25">
      <c r="A9" s="399" t="s">
        <v>7</v>
      </c>
      <c r="B9" s="400"/>
      <c r="C9" s="400"/>
      <c r="D9" s="401"/>
    </row>
    <row r="10" spans="1:4" s="38" customFormat="1" ht="15.75" customHeight="1" x14ac:dyDescent="0.25">
      <c r="A10" s="399" t="s">
        <v>8</v>
      </c>
      <c r="B10" s="400"/>
      <c r="C10" s="400"/>
      <c r="D10" s="401"/>
    </row>
    <row r="11" spans="1:4" s="38" customFormat="1" ht="30" customHeight="1" x14ac:dyDescent="0.25">
      <c r="A11" s="407" t="s">
        <v>9</v>
      </c>
      <c r="B11" s="408"/>
      <c r="C11" s="408"/>
      <c r="D11" s="158" t="s">
        <v>10</v>
      </c>
    </row>
    <row r="12" spans="1:4" s="38" customFormat="1" ht="114.95" customHeight="1" x14ac:dyDescent="0.25">
      <c r="A12" s="40">
        <v>1</v>
      </c>
      <c r="B12" s="42" t="s">
        <v>133</v>
      </c>
      <c r="C12" s="409" t="s">
        <v>269</v>
      </c>
      <c r="D12" s="410"/>
    </row>
    <row r="13" spans="1:4" s="38" customFormat="1" ht="30" customHeight="1" x14ac:dyDescent="0.25">
      <c r="A13" s="40">
        <v>2</v>
      </c>
      <c r="B13" s="42" t="s">
        <v>11</v>
      </c>
      <c r="C13" s="385">
        <v>3325</v>
      </c>
      <c r="D13" s="474"/>
    </row>
    <row r="14" spans="1:4" s="38" customFormat="1" ht="30" customHeight="1" x14ac:dyDescent="0.25">
      <c r="A14" s="40">
        <v>3</v>
      </c>
      <c r="B14" s="42" t="s">
        <v>12</v>
      </c>
      <c r="C14" s="409" t="s">
        <v>273</v>
      </c>
      <c r="D14" s="410"/>
    </row>
    <row r="15" spans="1:4" s="38" customFormat="1" x14ac:dyDescent="0.25">
      <c r="A15" s="40">
        <v>4</v>
      </c>
      <c r="B15" s="43" t="s">
        <v>13</v>
      </c>
      <c r="C15" s="468"/>
      <c r="D15" s="469"/>
    </row>
    <row r="16" spans="1:4" s="39" customFormat="1" x14ac:dyDescent="0.25">
      <c r="A16" s="404" t="s">
        <v>14</v>
      </c>
      <c r="B16" s="405"/>
      <c r="C16" s="405"/>
      <c r="D16" s="217" t="s">
        <v>265</v>
      </c>
    </row>
    <row r="17" spans="1:4" s="39" customFormat="1" x14ac:dyDescent="0.25">
      <c r="A17" s="44">
        <v>1</v>
      </c>
      <c r="B17" s="406" t="s">
        <v>15</v>
      </c>
      <c r="C17" s="406"/>
      <c r="D17" s="133" t="s">
        <v>10</v>
      </c>
    </row>
    <row r="18" spans="1:4" s="38" customFormat="1" ht="15.75" customHeight="1" x14ac:dyDescent="0.25">
      <c r="A18" s="45" t="s">
        <v>0</v>
      </c>
      <c r="B18" s="46" t="s">
        <v>16</v>
      </c>
      <c r="C18" s="43"/>
      <c r="D18" s="128">
        <f>C13</f>
        <v>3325</v>
      </c>
    </row>
    <row r="19" spans="1:4" s="38" customFormat="1" ht="15.75" customHeight="1" x14ac:dyDescent="0.25">
      <c r="A19" s="45" t="s">
        <v>2</v>
      </c>
      <c r="B19" s="46" t="s">
        <v>17</v>
      </c>
      <c r="C19" s="82"/>
      <c r="D19" s="134"/>
    </row>
    <row r="20" spans="1:4" s="38" customFormat="1" ht="15.75" customHeight="1" x14ac:dyDescent="0.25">
      <c r="A20" s="45" t="s">
        <v>3</v>
      </c>
      <c r="B20" s="46" t="s">
        <v>18</v>
      </c>
      <c r="C20" s="115" t="s">
        <v>244</v>
      </c>
      <c r="D20" s="134">
        <f>40%*1412</f>
        <v>564.79999999999995</v>
      </c>
    </row>
    <row r="21" spans="1:4" s="38" customFormat="1" ht="15.75" customHeight="1" x14ac:dyDescent="0.25">
      <c r="A21" s="45" t="s">
        <v>5</v>
      </c>
      <c r="B21" s="46" t="s">
        <v>19</v>
      </c>
      <c r="C21" s="82"/>
      <c r="D21" s="134">
        <f>((((D18+D20)/220)*20%)*8)*15.21</f>
        <v>430.28</v>
      </c>
    </row>
    <row r="22" spans="1:4" s="38" customFormat="1" ht="15.75" customHeight="1" x14ac:dyDescent="0.25">
      <c r="A22" s="45" t="s">
        <v>20</v>
      </c>
      <c r="B22" s="46" t="s">
        <v>203</v>
      </c>
      <c r="C22" s="82"/>
      <c r="D22" s="134"/>
    </row>
    <row r="23" spans="1:4" s="38" customFormat="1" x14ac:dyDescent="0.25">
      <c r="A23" s="45" t="s">
        <v>21</v>
      </c>
      <c r="B23" s="46" t="s">
        <v>138</v>
      </c>
      <c r="C23" s="49"/>
      <c r="D23" s="134"/>
    </row>
    <row r="24" spans="1:4" s="38" customFormat="1" ht="15.75" customHeight="1" x14ac:dyDescent="0.25">
      <c r="A24" s="45" t="s">
        <v>22</v>
      </c>
      <c r="B24" s="47" t="s">
        <v>139</v>
      </c>
      <c r="C24" s="49"/>
      <c r="D24" s="134"/>
    </row>
    <row r="25" spans="1:4" s="39" customFormat="1" ht="15.75" customHeight="1" x14ac:dyDescent="0.25">
      <c r="A25" s="418" t="s">
        <v>152</v>
      </c>
      <c r="B25" s="419"/>
      <c r="C25" s="419"/>
      <c r="D25" s="135">
        <f>SUM(D18:D24)</f>
        <v>4320.08</v>
      </c>
    </row>
    <row r="26" spans="1:4" s="39" customFormat="1" x14ac:dyDescent="0.25">
      <c r="A26" s="465" t="s">
        <v>51</v>
      </c>
      <c r="B26" s="466"/>
      <c r="C26" s="466"/>
      <c r="D26" s="475"/>
    </row>
    <row r="27" spans="1:4" s="38" customFormat="1" x14ac:dyDescent="0.25">
      <c r="A27" s="52" t="s">
        <v>141</v>
      </c>
      <c r="B27" s="420" t="s">
        <v>204</v>
      </c>
      <c r="C27" s="421"/>
      <c r="D27" s="137" t="s">
        <v>10</v>
      </c>
    </row>
    <row r="28" spans="1:4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129">
        <f>(D25)*C28</f>
        <v>359.86</v>
      </c>
    </row>
    <row r="29" spans="1:4" s="38" customFormat="1" x14ac:dyDescent="0.25">
      <c r="A29" s="50" t="s">
        <v>2</v>
      </c>
      <c r="B29" s="51" t="s">
        <v>148</v>
      </c>
      <c r="C29" s="59">
        <v>0.1111</v>
      </c>
      <c r="D29" s="129">
        <f>(D25)*C29</f>
        <v>479.96</v>
      </c>
    </row>
    <row r="30" spans="1:4" x14ac:dyDescent="0.25">
      <c r="A30" s="416" t="s">
        <v>27</v>
      </c>
      <c r="B30" s="417"/>
      <c r="C30" s="99">
        <f>SUM(C28:C29)</f>
        <v>0.19439999999999999</v>
      </c>
      <c r="D30" s="130">
        <f>SUM(D28:D29)</f>
        <v>839.82</v>
      </c>
    </row>
    <row r="31" spans="1:4" ht="32.25" customHeight="1" x14ac:dyDescent="0.25">
      <c r="A31" s="476" t="s">
        <v>189</v>
      </c>
      <c r="B31" s="477"/>
      <c r="C31" s="477"/>
      <c r="D31" s="478"/>
    </row>
    <row r="32" spans="1:4" x14ac:dyDescent="0.25">
      <c r="A32" s="77" t="s">
        <v>141</v>
      </c>
      <c r="B32" s="422" t="s">
        <v>25</v>
      </c>
      <c r="C32" s="423"/>
      <c r="D32" s="159"/>
    </row>
    <row r="33" spans="1:4" x14ac:dyDescent="0.25">
      <c r="A33" s="50" t="s">
        <v>0</v>
      </c>
      <c r="B33" s="87" t="s">
        <v>206</v>
      </c>
      <c r="C33" s="59">
        <v>0.2</v>
      </c>
      <c r="D33" s="129">
        <f t="shared" ref="D33:D40" si="0">($D$25+D$30)*C33</f>
        <v>1031.98</v>
      </c>
    </row>
    <row r="34" spans="1:4" x14ac:dyDescent="0.25">
      <c r="A34" s="50" t="s">
        <v>2</v>
      </c>
      <c r="B34" s="87" t="s">
        <v>207</v>
      </c>
      <c r="C34" s="88">
        <v>1.4999999999999999E-2</v>
      </c>
      <c r="D34" s="129">
        <f t="shared" si="0"/>
        <v>77.400000000000006</v>
      </c>
    </row>
    <row r="35" spans="1:4" x14ac:dyDescent="0.25">
      <c r="A35" s="50" t="s">
        <v>3</v>
      </c>
      <c r="B35" s="87" t="s">
        <v>208</v>
      </c>
      <c r="C35" s="88">
        <v>0.01</v>
      </c>
      <c r="D35" s="129">
        <f t="shared" si="0"/>
        <v>51.6</v>
      </c>
    </row>
    <row r="36" spans="1:4" ht="31.5" x14ac:dyDescent="0.25">
      <c r="A36" s="50" t="s">
        <v>5</v>
      </c>
      <c r="B36" s="73" t="s">
        <v>209</v>
      </c>
      <c r="C36" s="88">
        <v>2E-3</v>
      </c>
      <c r="D36" s="129">
        <f t="shared" si="0"/>
        <v>10.32</v>
      </c>
    </row>
    <row r="37" spans="1:4" x14ac:dyDescent="0.25">
      <c r="A37" s="50" t="s">
        <v>20</v>
      </c>
      <c r="B37" s="87" t="s">
        <v>210</v>
      </c>
      <c r="C37" s="88">
        <v>2.5000000000000001E-2</v>
      </c>
      <c r="D37" s="129">
        <f t="shared" si="0"/>
        <v>129</v>
      </c>
    </row>
    <row r="38" spans="1:4" x14ac:dyDescent="0.25">
      <c r="A38" s="50" t="s">
        <v>21</v>
      </c>
      <c r="B38" s="114" t="s">
        <v>211</v>
      </c>
      <c r="C38" s="88">
        <v>0.08</v>
      </c>
      <c r="D38" s="129">
        <f t="shared" si="0"/>
        <v>412.79</v>
      </c>
    </row>
    <row r="39" spans="1:4" ht="47.25" x14ac:dyDescent="0.25">
      <c r="A39" s="50" t="s">
        <v>22</v>
      </c>
      <c r="B39" s="73" t="s">
        <v>212</v>
      </c>
      <c r="C39" s="88">
        <v>0.03</v>
      </c>
      <c r="D39" s="129">
        <f t="shared" si="0"/>
        <v>154.80000000000001</v>
      </c>
    </row>
    <row r="40" spans="1:4" x14ac:dyDescent="0.25">
      <c r="A40" s="50" t="s">
        <v>26</v>
      </c>
      <c r="B40" s="113" t="s">
        <v>213</v>
      </c>
      <c r="C40" s="88">
        <v>6.0000000000000001E-3</v>
      </c>
      <c r="D40" s="129">
        <f t="shared" si="0"/>
        <v>30.96</v>
      </c>
    </row>
    <row r="41" spans="1:4" s="30" customFormat="1" x14ac:dyDescent="0.25">
      <c r="A41" s="416" t="s">
        <v>27</v>
      </c>
      <c r="B41" s="417"/>
      <c r="C41" s="60">
        <f>SUM(C33:C40)</f>
        <v>0.36799999999999999</v>
      </c>
      <c r="D41" s="130">
        <f>SUM(D33:D40)</f>
        <v>1898.85</v>
      </c>
    </row>
    <row r="42" spans="1:4" s="30" customFormat="1" x14ac:dyDescent="0.25">
      <c r="A42" s="404" t="s">
        <v>173</v>
      </c>
      <c r="B42" s="405"/>
      <c r="C42" s="405"/>
      <c r="D42" s="479"/>
    </row>
    <row r="43" spans="1:4" s="30" customFormat="1" x14ac:dyDescent="0.25">
      <c r="A43" s="80" t="s">
        <v>215</v>
      </c>
      <c r="B43" s="414" t="s">
        <v>216</v>
      </c>
      <c r="C43" s="415"/>
      <c r="D43" s="97"/>
    </row>
    <row r="44" spans="1:4" s="30" customFormat="1" x14ac:dyDescent="0.25">
      <c r="A44" s="98" t="s">
        <v>0</v>
      </c>
      <c r="B44" s="56" t="s">
        <v>144</v>
      </c>
      <c r="C44" s="112"/>
      <c r="D44" s="160">
        <v>0</v>
      </c>
    </row>
    <row r="45" spans="1:4" s="30" customFormat="1" x14ac:dyDescent="0.25">
      <c r="A45" s="48" t="s">
        <v>2</v>
      </c>
      <c r="B45" s="47" t="s">
        <v>190</v>
      </c>
      <c r="C45" s="79"/>
      <c r="D45" s="160">
        <v>0</v>
      </c>
    </row>
    <row r="46" spans="1:4" s="30" customFormat="1" x14ac:dyDescent="0.25">
      <c r="A46" s="50" t="s">
        <v>3</v>
      </c>
      <c r="B46" s="51" t="s">
        <v>134</v>
      </c>
      <c r="C46" s="71"/>
      <c r="D46" s="160">
        <v>0</v>
      </c>
    </row>
    <row r="47" spans="1:4" s="30" customFormat="1" x14ac:dyDescent="0.25">
      <c r="A47" s="50" t="s">
        <v>5</v>
      </c>
      <c r="B47" s="51" t="s">
        <v>135</v>
      </c>
      <c r="C47" s="59"/>
      <c r="D47" s="160">
        <v>0</v>
      </c>
    </row>
    <row r="48" spans="1:4" s="30" customFormat="1" x14ac:dyDescent="0.25">
      <c r="A48" s="50" t="s">
        <v>20</v>
      </c>
      <c r="B48" s="51" t="s">
        <v>136</v>
      </c>
      <c r="C48" s="71"/>
      <c r="D48" s="160">
        <v>0</v>
      </c>
    </row>
    <row r="49" spans="1:4" s="30" customFormat="1" ht="15.75" customHeight="1" x14ac:dyDescent="0.25">
      <c r="A49" s="156" t="s">
        <v>23</v>
      </c>
      <c r="B49" s="157"/>
      <c r="C49" s="92"/>
      <c r="D49" s="130">
        <f>SUM(D44:D48)</f>
        <v>0</v>
      </c>
    </row>
    <row r="50" spans="1:4" s="30" customFormat="1" ht="15.75" customHeight="1" x14ac:dyDescent="0.25">
      <c r="A50" s="404" t="s">
        <v>223</v>
      </c>
      <c r="B50" s="405"/>
      <c r="C50" s="405"/>
      <c r="D50" s="479"/>
    </row>
    <row r="51" spans="1:4" s="30" customFormat="1" ht="15.75" customHeight="1" x14ac:dyDescent="0.25">
      <c r="A51" s="44" t="s">
        <v>141</v>
      </c>
      <c r="B51" s="109" t="s">
        <v>145</v>
      </c>
      <c r="C51" s="57"/>
      <c r="D51" s="138">
        <f>D30</f>
        <v>839.82</v>
      </c>
    </row>
    <row r="52" spans="1:4" s="30" customFormat="1" ht="15.75" customHeight="1" x14ac:dyDescent="0.25">
      <c r="A52" s="44" t="s">
        <v>214</v>
      </c>
      <c r="B52" s="109" t="s">
        <v>146</v>
      </c>
      <c r="C52" s="57"/>
      <c r="D52" s="138">
        <f>D41</f>
        <v>1898.85</v>
      </c>
    </row>
    <row r="53" spans="1:4" s="30" customFormat="1" ht="15.75" customHeight="1" x14ac:dyDescent="0.25">
      <c r="A53" s="44" t="s">
        <v>215</v>
      </c>
      <c r="B53" s="109" t="s">
        <v>147</v>
      </c>
      <c r="C53" s="57"/>
      <c r="D53" s="138">
        <f>D49</f>
        <v>0</v>
      </c>
    </row>
    <row r="54" spans="1:4" s="30" customFormat="1" ht="15.75" customHeight="1" x14ac:dyDescent="0.25">
      <c r="A54" s="418" t="s">
        <v>153</v>
      </c>
      <c r="B54" s="419"/>
      <c r="C54" s="419"/>
      <c r="D54" s="135">
        <f>SUM(D51:D53)</f>
        <v>2738.67</v>
      </c>
    </row>
    <row r="55" spans="1:4" s="30" customFormat="1" ht="15.75" customHeight="1" x14ac:dyDescent="0.25">
      <c r="A55" s="465" t="s">
        <v>162</v>
      </c>
      <c r="B55" s="466"/>
      <c r="C55" s="466"/>
      <c r="D55" s="475"/>
    </row>
    <row r="56" spans="1:4" s="30" customFormat="1" ht="15.75" customHeight="1" x14ac:dyDescent="0.25">
      <c r="A56" s="52" t="s">
        <v>199</v>
      </c>
      <c r="B56" s="420" t="s">
        <v>32</v>
      </c>
      <c r="C56" s="429"/>
      <c r="D56" s="137" t="s">
        <v>10</v>
      </c>
    </row>
    <row r="57" spans="1:4" s="30" customFormat="1" ht="15.75" customHeight="1" x14ac:dyDescent="0.25">
      <c r="A57" s="50" t="s">
        <v>0</v>
      </c>
      <c r="B57" s="51" t="s">
        <v>33</v>
      </c>
      <c r="C57" s="59">
        <v>4.5999999999999999E-3</v>
      </c>
      <c r="D57" s="129">
        <f>D$25*C57</f>
        <v>19.87</v>
      </c>
    </row>
    <row r="58" spans="1:4" s="30" customFormat="1" ht="15.75" customHeight="1" x14ac:dyDescent="0.25">
      <c r="A58" s="50" t="s">
        <v>2</v>
      </c>
      <c r="B58" s="51" t="s">
        <v>34</v>
      </c>
      <c r="C58" s="59">
        <v>4.0000000000000002E-4</v>
      </c>
      <c r="D58" s="129">
        <f>D$25*C58</f>
        <v>1.73</v>
      </c>
    </row>
    <row r="59" spans="1:4" s="30" customFormat="1" ht="15.75" customHeight="1" x14ac:dyDescent="0.25">
      <c r="A59" s="50" t="s">
        <v>3</v>
      </c>
      <c r="B59" s="54" t="s">
        <v>35</v>
      </c>
      <c r="C59" s="59">
        <v>1.9400000000000001E-2</v>
      </c>
      <c r="D59" s="129">
        <f>D$25*C59</f>
        <v>83.81</v>
      </c>
    </row>
    <row r="60" spans="1:4" s="30" customFormat="1" ht="30.75" customHeight="1" x14ac:dyDescent="0.25">
      <c r="A60" s="50" t="s">
        <v>5</v>
      </c>
      <c r="B60" s="51" t="s">
        <v>174</v>
      </c>
      <c r="C60" s="59">
        <v>7.1000000000000004E-3</v>
      </c>
      <c r="D60" s="129">
        <f>D$25*C60</f>
        <v>30.67</v>
      </c>
    </row>
    <row r="61" spans="1:4" s="30" customFormat="1" ht="15.75" customHeight="1" x14ac:dyDescent="0.25">
      <c r="A61" s="50" t="s">
        <v>20</v>
      </c>
      <c r="B61" s="51" t="s">
        <v>149</v>
      </c>
      <c r="C61" s="59">
        <v>0.04</v>
      </c>
      <c r="D61" s="129">
        <f>D$25*C61</f>
        <v>172.8</v>
      </c>
    </row>
    <row r="62" spans="1:4" s="30" customFormat="1" x14ac:dyDescent="0.25">
      <c r="A62" s="418" t="s">
        <v>154</v>
      </c>
      <c r="B62" s="419"/>
      <c r="C62" s="419"/>
      <c r="D62" s="135">
        <f>SUM(D57:D61)</f>
        <v>308.88</v>
      </c>
    </row>
    <row r="63" spans="1:4" s="30" customFormat="1" x14ac:dyDescent="0.25">
      <c r="A63" s="465" t="s">
        <v>163</v>
      </c>
      <c r="B63" s="466"/>
      <c r="C63" s="466"/>
      <c r="D63" s="475"/>
    </row>
    <row r="64" spans="1:4" s="30" customFormat="1" x14ac:dyDescent="0.25">
      <c r="A64" s="52" t="s">
        <v>198</v>
      </c>
      <c r="B64" s="430" t="s">
        <v>197</v>
      </c>
      <c r="C64" s="430"/>
      <c r="D64" s="137" t="s">
        <v>10</v>
      </c>
    </row>
    <row r="65" spans="1:4" s="30" customFormat="1" x14ac:dyDescent="0.25">
      <c r="A65" s="50" t="s">
        <v>0</v>
      </c>
      <c r="B65" s="51" t="s">
        <v>191</v>
      </c>
      <c r="C65" s="59">
        <v>9.2999999999999992E-3</v>
      </c>
      <c r="D65" s="129">
        <f t="shared" ref="D65:D70" si="1">(D$25+D$54+D$62+D$85)*C65</f>
        <v>68.86</v>
      </c>
    </row>
    <row r="66" spans="1:4" s="30" customFormat="1" x14ac:dyDescent="0.25">
      <c r="A66" s="50" t="s">
        <v>2</v>
      </c>
      <c r="B66" s="51" t="s">
        <v>192</v>
      </c>
      <c r="C66" s="59">
        <v>1.66E-2</v>
      </c>
      <c r="D66" s="129">
        <f t="shared" si="1"/>
        <v>122.91</v>
      </c>
    </row>
    <row r="67" spans="1:4" s="30" customFormat="1" x14ac:dyDescent="0.25">
      <c r="A67" s="50" t="s">
        <v>3</v>
      </c>
      <c r="B67" s="51" t="s">
        <v>193</v>
      </c>
      <c r="C67" s="59">
        <v>2.0000000000000001E-4</v>
      </c>
      <c r="D67" s="129">
        <f t="shared" si="1"/>
        <v>1.48</v>
      </c>
    </row>
    <row r="68" spans="1:4" s="30" customFormat="1" x14ac:dyDescent="0.25">
      <c r="A68" s="50" t="s">
        <v>5</v>
      </c>
      <c r="B68" s="51" t="s">
        <v>194</v>
      </c>
      <c r="C68" s="59">
        <v>2.7000000000000001E-3</v>
      </c>
      <c r="D68" s="129">
        <f t="shared" si="1"/>
        <v>19.989999999999998</v>
      </c>
    </row>
    <row r="69" spans="1:4" s="30" customFormat="1" x14ac:dyDescent="0.25">
      <c r="A69" s="50" t="s">
        <v>20</v>
      </c>
      <c r="B69" s="51" t="s">
        <v>195</v>
      </c>
      <c r="C69" s="59">
        <v>2.9999999999999997E-4</v>
      </c>
      <c r="D69" s="129">
        <f t="shared" si="1"/>
        <v>2.2200000000000002</v>
      </c>
    </row>
    <row r="70" spans="1:4" s="30" customFormat="1" ht="15.75" customHeight="1" x14ac:dyDescent="0.25">
      <c r="A70" s="50" t="s">
        <v>21</v>
      </c>
      <c r="B70" s="55" t="s">
        <v>196</v>
      </c>
      <c r="C70" s="59">
        <v>0</v>
      </c>
      <c r="D70" s="129">
        <f t="shared" si="1"/>
        <v>0</v>
      </c>
    </row>
    <row r="71" spans="1:4" s="30" customFormat="1" x14ac:dyDescent="0.25">
      <c r="A71" s="416" t="s">
        <v>29</v>
      </c>
      <c r="B71" s="417"/>
      <c r="C71" s="60">
        <f>SUM(C65:C70)</f>
        <v>2.9100000000000001E-2</v>
      </c>
      <c r="D71" s="130">
        <f>SUM(D65:D70)</f>
        <v>215.46</v>
      </c>
    </row>
    <row r="72" spans="1:4" s="30" customFormat="1" x14ac:dyDescent="0.25">
      <c r="A72" s="44"/>
      <c r="B72" s="57"/>
      <c r="C72" s="100"/>
      <c r="D72" s="128"/>
    </row>
    <row r="73" spans="1:4" s="30" customFormat="1" x14ac:dyDescent="0.25">
      <c r="A73" s="44"/>
      <c r="B73" s="406" t="s">
        <v>200</v>
      </c>
      <c r="C73" s="431"/>
      <c r="D73" s="137" t="s">
        <v>10</v>
      </c>
    </row>
    <row r="74" spans="1:4" s="30" customFormat="1" x14ac:dyDescent="0.25">
      <c r="A74" s="50" t="s">
        <v>0</v>
      </c>
      <c r="B74" s="51" t="s">
        <v>201</v>
      </c>
      <c r="C74" s="59">
        <v>0</v>
      </c>
      <c r="D74" s="129">
        <f>(D$25+D$54+D$62)*C74</f>
        <v>0</v>
      </c>
    </row>
    <row r="75" spans="1:4" s="30" customFormat="1" ht="15.75" customHeight="1" x14ac:dyDescent="0.25">
      <c r="A75" s="416" t="s">
        <v>27</v>
      </c>
      <c r="B75" s="417"/>
      <c r="C75" s="101">
        <f>C74</f>
        <v>0</v>
      </c>
      <c r="D75" s="130">
        <f>D74</f>
        <v>0</v>
      </c>
    </row>
    <row r="76" spans="1:4" s="30" customFormat="1" ht="15.75" customHeight="1" x14ac:dyDescent="0.25">
      <c r="A76" s="404" t="s">
        <v>30</v>
      </c>
      <c r="B76" s="405"/>
      <c r="C76" s="405"/>
      <c r="D76" s="479"/>
    </row>
    <row r="77" spans="1:4" s="30" customFormat="1" ht="15.75" customHeight="1" x14ac:dyDescent="0.25">
      <c r="A77" s="472" t="s">
        <v>202</v>
      </c>
      <c r="B77" s="473"/>
      <c r="C77" s="473"/>
      <c r="D77" s="480"/>
    </row>
    <row r="78" spans="1:4" s="30" customFormat="1" ht="15.75" customHeight="1" x14ac:dyDescent="0.25">
      <c r="A78" s="52">
        <v>4</v>
      </c>
      <c r="B78" s="420" t="s">
        <v>31</v>
      </c>
      <c r="C78" s="429"/>
      <c r="D78" s="137" t="s">
        <v>10</v>
      </c>
    </row>
    <row r="79" spans="1:4" s="30" customFormat="1" ht="15.75" customHeight="1" x14ac:dyDescent="0.25">
      <c r="A79" s="50" t="s">
        <v>198</v>
      </c>
      <c r="B79" s="55" t="s">
        <v>197</v>
      </c>
      <c r="C79" s="59">
        <f>C71</f>
        <v>2.9100000000000001E-2</v>
      </c>
      <c r="D79" s="129">
        <f>D71</f>
        <v>215.46</v>
      </c>
    </row>
    <row r="80" spans="1:4" s="30" customFormat="1" ht="15.75" customHeight="1" x14ac:dyDescent="0.25">
      <c r="A80" s="50" t="s">
        <v>220</v>
      </c>
      <c r="B80" s="55" t="s">
        <v>200</v>
      </c>
      <c r="C80" s="59">
        <v>0</v>
      </c>
      <c r="D80" s="129">
        <f>(D$25+D$54+D$62)*C80</f>
        <v>0</v>
      </c>
    </row>
    <row r="81" spans="1:4" s="30" customFormat="1" ht="15.75" customHeight="1" x14ac:dyDescent="0.25">
      <c r="A81" s="416" t="s">
        <v>27</v>
      </c>
      <c r="B81" s="417"/>
      <c r="C81" s="99">
        <f>SUM(C79:C80)</f>
        <v>2.9100000000000001E-2</v>
      </c>
      <c r="D81" s="130">
        <f>SUM(D79:D80)</f>
        <v>215.46</v>
      </c>
    </row>
    <row r="82" spans="1:4" s="30" customFormat="1" ht="15.75" customHeight="1" x14ac:dyDescent="0.25">
      <c r="A82" s="418" t="s">
        <v>155</v>
      </c>
      <c r="B82" s="419"/>
      <c r="C82" s="419"/>
      <c r="D82" s="135">
        <f>SUM(D75+D81)</f>
        <v>215.46</v>
      </c>
    </row>
    <row r="83" spans="1:4" s="30" customFormat="1" ht="15.75" customHeight="1" x14ac:dyDescent="0.25">
      <c r="A83" s="465" t="s">
        <v>164</v>
      </c>
      <c r="B83" s="466"/>
      <c r="C83" s="466"/>
      <c r="D83" s="475"/>
    </row>
    <row r="84" spans="1:4" s="30" customFormat="1" ht="15.75" customHeight="1" x14ac:dyDescent="0.25">
      <c r="A84" s="52">
        <v>5</v>
      </c>
      <c r="B84" s="420" t="s">
        <v>24</v>
      </c>
      <c r="C84" s="429"/>
      <c r="D84" s="137" t="s">
        <v>10</v>
      </c>
    </row>
    <row r="85" spans="1:4" s="30" customFormat="1" ht="15.75" customHeight="1" x14ac:dyDescent="0.25">
      <c r="A85" s="48" t="s">
        <v>0</v>
      </c>
      <c r="B85" s="434" t="s">
        <v>221</v>
      </c>
      <c r="C85" s="434"/>
      <c r="D85" s="129">
        <f>Uniformes!H7</f>
        <v>36.61</v>
      </c>
    </row>
    <row r="86" spans="1:4" s="30" customFormat="1" ht="15.75" customHeight="1" x14ac:dyDescent="0.25">
      <c r="A86" s="231" t="s">
        <v>2</v>
      </c>
      <c r="B86" s="435" t="s">
        <v>222</v>
      </c>
      <c r="C86" s="435"/>
      <c r="D86" s="232">
        <f>Materiais!H18</f>
        <v>64.819999999999993</v>
      </c>
    </row>
    <row r="87" spans="1:4" s="30" customFormat="1" ht="15.75" customHeight="1" x14ac:dyDescent="0.25">
      <c r="A87" s="231" t="s">
        <v>3</v>
      </c>
      <c r="B87" s="435" t="s">
        <v>187</v>
      </c>
      <c r="C87" s="435"/>
      <c r="D87" s="232">
        <f>Equipamentos!H18</f>
        <v>1312.5</v>
      </c>
    </row>
    <row r="88" spans="1:4" s="30" customFormat="1" ht="15.75" customHeight="1" x14ac:dyDescent="0.25">
      <c r="A88" s="48" t="s">
        <v>5</v>
      </c>
      <c r="B88" s="434" t="s">
        <v>137</v>
      </c>
      <c r="C88" s="434"/>
      <c r="D88" s="129">
        <v>0</v>
      </c>
    </row>
    <row r="89" spans="1:4" s="30" customFormat="1" ht="15.75" customHeight="1" x14ac:dyDescent="0.25">
      <c r="A89" s="418" t="s">
        <v>156</v>
      </c>
      <c r="B89" s="419"/>
      <c r="C89" s="419"/>
      <c r="D89" s="135">
        <f>SUM(D85:D88)</f>
        <v>1413.93</v>
      </c>
    </row>
    <row r="90" spans="1:4" s="30" customFormat="1" ht="30" customHeight="1" x14ac:dyDescent="0.25">
      <c r="A90" s="427" t="s">
        <v>224</v>
      </c>
      <c r="B90" s="428"/>
      <c r="C90" s="428"/>
      <c r="D90" s="139">
        <f>D89+D82+D62+D54+D25</f>
        <v>8997.02</v>
      </c>
    </row>
    <row r="91" spans="1:4" s="30" customFormat="1" ht="19.5" customHeight="1" x14ac:dyDescent="0.25">
      <c r="A91" s="465" t="s">
        <v>165</v>
      </c>
      <c r="B91" s="466"/>
      <c r="C91" s="466"/>
      <c r="D91" s="475"/>
    </row>
    <row r="92" spans="1:4" s="30" customFormat="1" x14ac:dyDescent="0.25">
      <c r="A92" s="52">
        <v>6</v>
      </c>
      <c r="B92" s="420" t="s">
        <v>38</v>
      </c>
      <c r="C92" s="421"/>
      <c r="D92" s="137" t="s">
        <v>10</v>
      </c>
    </row>
    <row r="93" spans="1:4" s="30" customFormat="1" x14ac:dyDescent="0.25">
      <c r="A93" s="52" t="s">
        <v>0</v>
      </c>
      <c r="B93" s="51" t="s">
        <v>39</v>
      </c>
      <c r="C93" s="59">
        <v>0.03</v>
      </c>
      <c r="D93" s="129">
        <f>+D90*C93</f>
        <v>269.91000000000003</v>
      </c>
    </row>
    <row r="94" spans="1:4" s="30" customFormat="1" x14ac:dyDescent="0.25">
      <c r="A94" s="52" t="s">
        <v>2</v>
      </c>
      <c r="B94" s="51" t="s">
        <v>40</v>
      </c>
      <c r="C94" s="59">
        <v>6.7900000000000002E-2</v>
      </c>
      <c r="D94" s="129">
        <f>C94*(+D90+D93)</f>
        <v>629.22</v>
      </c>
    </row>
    <row r="95" spans="1:4" s="30" customFormat="1" ht="31.5" x14ac:dyDescent="0.25">
      <c r="A95" s="436" t="s">
        <v>3</v>
      </c>
      <c r="B95" s="51" t="s">
        <v>50</v>
      </c>
      <c r="C95" s="59">
        <f>1-C103</f>
        <v>0.85750000000000004</v>
      </c>
      <c r="D95" s="129">
        <f>+D90+D93+D94</f>
        <v>9896.15</v>
      </c>
    </row>
    <row r="96" spans="1:4" s="30" customFormat="1" x14ac:dyDescent="0.25">
      <c r="A96" s="436"/>
      <c r="B96" s="55" t="s">
        <v>41</v>
      </c>
      <c r="C96" s="95"/>
      <c r="D96" s="140">
        <f>+D95/C95</f>
        <v>11540.7</v>
      </c>
    </row>
    <row r="97" spans="1:4" s="30" customFormat="1" x14ac:dyDescent="0.25">
      <c r="A97" s="436"/>
      <c r="B97" s="55" t="s">
        <v>42</v>
      </c>
      <c r="C97" s="72"/>
      <c r="D97" s="129"/>
    </row>
    <row r="98" spans="1:4" s="30" customFormat="1" x14ac:dyDescent="0.25">
      <c r="A98" s="436"/>
      <c r="B98" s="51" t="s">
        <v>130</v>
      </c>
      <c r="C98" s="59">
        <v>1.6500000000000001E-2</v>
      </c>
      <c r="D98" s="129">
        <f>+D96*C98</f>
        <v>190.42</v>
      </c>
    </row>
    <row r="99" spans="1:4" s="30" customFormat="1" x14ac:dyDescent="0.25">
      <c r="A99" s="436"/>
      <c r="B99" s="51" t="s">
        <v>131</v>
      </c>
      <c r="C99" s="59">
        <v>7.5999999999999998E-2</v>
      </c>
      <c r="D99" s="129">
        <f>+D96*C99</f>
        <v>877.09</v>
      </c>
    </row>
    <row r="100" spans="1:4" s="30" customFormat="1" x14ac:dyDescent="0.25">
      <c r="A100" s="436"/>
      <c r="B100" s="53" t="s">
        <v>43</v>
      </c>
      <c r="C100" s="95"/>
      <c r="D100" s="129"/>
    </row>
    <row r="101" spans="1:4" s="30" customFormat="1" x14ac:dyDescent="0.25">
      <c r="A101" s="436"/>
      <c r="B101" s="53" t="s">
        <v>44</v>
      </c>
      <c r="C101" s="102"/>
      <c r="D101" s="129"/>
    </row>
    <row r="102" spans="1:4" s="30" customFormat="1" x14ac:dyDescent="0.25">
      <c r="A102" s="436"/>
      <c r="B102" s="51" t="s">
        <v>142</v>
      </c>
      <c r="C102" s="59">
        <v>0.05</v>
      </c>
      <c r="D102" s="129">
        <f>+D96*C102</f>
        <v>577.04</v>
      </c>
    </row>
    <row r="103" spans="1:4" s="30" customFormat="1" x14ac:dyDescent="0.25">
      <c r="A103" s="52"/>
      <c r="B103" s="106" t="s">
        <v>45</v>
      </c>
      <c r="C103" s="107">
        <f>SUM(C98:C102)</f>
        <v>0.14249999999999999</v>
      </c>
      <c r="D103" s="142">
        <f>SUM(D98:D102)</f>
        <v>1644.55</v>
      </c>
    </row>
    <row r="104" spans="1:4" s="30" customFormat="1" ht="15.75" customHeight="1" x14ac:dyDescent="0.25">
      <c r="A104" s="416" t="s">
        <v>46</v>
      </c>
      <c r="B104" s="417"/>
      <c r="C104" s="417"/>
      <c r="D104" s="130">
        <f>+D93+D94+D103</f>
        <v>2543.6799999999998</v>
      </c>
    </row>
    <row r="105" spans="1:4" s="30" customFormat="1" ht="15.75" customHeight="1" x14ac:dyDescent="0.25">
      <c r="A105" s="454" t="s">
        <v>47</v>
      </c>
      <c r="B105" s="455"/>
      <c r="C105" s="455"/>
      <c r="D105" s="141" t="s">
        <v>10</v>
      </c>
    </row>
    <row r="106" spans="1:4" s="30" customFormat="1" x14ac:dyDescent="0.25">
      <c r="A106" s="50" t="s">
        <v>0</v>
      </c>
      <c r="B106" s="438" t="s">
        <v>48</v>
      </c>
      <c r="C106" s="438"/>
      <c r="D106" s="129">
        <f>+D25</f>
        <v>4320.08</v>
      </c>
    </row>
    <row r="107" spans="1:4" s="30" customFormat="1" x14ac:dyDescent="0.25">
      <c r="A107" s="50" t="s">
        <v>2</v>
      </c>
      <c r="B107" s="438" t="s">
        <v>159</v>
      </c>
      <c r="C107" s="438"/>
      <c r="D107" s="129">
        <f>+D54</f>
        <v>2738.67</v>
      </c>
    </row>
    <row r="108" spans="1:4" s="30" customFormat="1" x14ac:dyDescent="0.25">
      <c r="A108" s="50" t="s">
        <v>3</v>
      </c>
      <c r="B108" s="438" t="s">
        <v>157</v>
      </c>
      <c r="C108" s="438"/>
      <c r="D108" s="129">
        <f>D62</f>
        <v>308.88</v>
      </c>
    </row>
    <row r="109" spans="1:4" s="30" customFormat="1" x14ac:dyDescent="0.25">
      <c r="A109" s="50" t="s">
        <v>5</v>
      </c>
      <c r="B109" s="452" t="s">
        <v>150</v>
      </c>
      <c r="C109" s="453"/>
      <c r="D109" s="129">
        <f>D82</f>
        <v>215.46</v>
      </c>
    </row>
    <row r="110" spans="1:4" s="30" customFormat="1" x14ac:dyDescent="0.25">
      <c r="A110" s="50" t="s">
        <v>20</v>
      </c>
      <c r="B110" s="452" t="s">
        <v>158</v>
      </c>
      <c r="C110" s="453"/>
      <c r="D110" s="129">
        <f>D89</f>
        <v>1413.93</v>
      </c>
    </row>
    <row r="111" spans="1:4" s="30" customFormat="1" ht="15.75" customHeight="1" x14ac:dyDescent="0.25">
      <c r="A111" s="436" t="s">
        <v>160</v>
      </c>
      <c r="B111" s="437"/>
      <c r="C111" s="437"/>
      <c r="D111" s="142">
        <f>SUM(D106:D110)</f>
        <v>8997.02</v>
      </c>
    </row>
    <row r="112" spans="1:4" s="30" customFormat="1" x14ac:dyDescent="0.25">
      <c r="A112" s="52" t="s">
        <v>20</v>
      </c>
      <c r="B112" s="438" t="s">
        <v>161</v>
      </c>
      <c r="C112" s="438"/>
      <c r="D112" s="129">
        <f>+D104</f>
        <v>2543.6799999999998</v>
      </c>
    </row>
    <row r="113" spans="1:4" s="30" customFormat="1" ht="16.5" customHeight="1" thickBot="1" x14ac:dyDescent="0.3">
      <c r="A113" s="481" t="s">
        <v>49</v>
      </c>
      <c r="B113" s="482"/>
      <c r="C113" s="483"/>
      <c r="D113" s="143">
        <f>+D111+D112</f>
        <v>11540.7</v>
      </c>
    </row>
    <row r="114" spans="1:4" x14ac:dyDescent="0.25">
      <c r="C114" s="31"/>
      <c r="D114" s="33"/>
    </row>
    <row r="115" spans="1:4" x14ac:dyDescent="0.25">
      <c r="B115" s="28"/>
      <c r="C115" s="31"/>
      <c r="D115" s="34"/>
    </row>
    <row r="116" spans="1:4" x14ac:dyDescent="0.25">
      <c r="B116" s="28"/>
      <c r="C116" s="31"/>
      <c r="D116" s="34" t="s">
        <v>129</v>
      </c>
    </row>
    <row r="117" spans="1:4" x14ac:dyDescent="0.25">
      <c r="B117" s="28"/>
      <c r="C117" s="441"/>
      <c r="D117" s="441"/>
    </row>
    <row r="118" spans="1:4" x14ac:dyDescent="0.25">
      <c r="B118" s="28"/>
      <c r="C118" s="31"/>
      <c r="D118" s="35"/>
    </row>
    <row r="120" spans="1:4" x14ac:dyDescent="0.25">
      <c r="B120" s="36"/>
    </row>
    <row r="125" spans="1:4" x14ac:dyDescent="0.25">
      <c r="B125" s="28"/>
    </row>
  </sheetData>
  <mergeCells count="63">
    <mergeCell ref="B112:C112"/>
    <mergeCell ref="A113:C113"/>
    <mergeCell ref="C117:D117"/>
    <mergeCell ref="B106:C106"/>
    <mergeCell ref="B107:C107"/>
    <mergeCell ref="B108:C108"/>
    <mergeCell ref="B109:C109"/>
    <mergeCell ref="B110:C110"/>
    <mergeCell ref="A111:C111"/>
    <mergeCell ref="A105:C105"/>
    <mergeCell ref="B84:C84"/>
    <mergeCell ref="B85:C85"/>
    <mergeCell ref="B86:C86"/>
    <mergeCell ref="B87:C87"/>
    <mergeCell ref="B88:C88"/>
    <mergeCell ref="A89:C89"/>
    <mergeCell ref="A90:C90"/>
    <mergeCell ref="A91:D91"/>
    <mergeCell ref="B92:C92"/>
    <mergeCell ref="A95:A102"/>
    <mergeCell ref="A104:C104"/>
    <mergeCell ref="A83:D83"/>
    <mergeCell ref="A62:C62"/>
    <mergeCell ref="A63:D63"/>
    <mergeCell ref="B64:C64"/>
    <mergeCell ref="A71:B71"/>
    <mergeCell ref="B73:C73"/>
    <mergeCell ref="A75:B75"/>
    <mergeCell ref="A76:D76"/>
    <mergeCell ref="A77:D77"/>
    <mergeCell ref="B78:C78"/>
    <mergeCell ref="A81:B81"/>
    <mergeCell ref="A82:C82"/>
    <mergeCell ref="B56:C56"/>
    <mergeCell ref="A26:D26"/>
    <mergeCell ref="B27:C27"/>
    <mergeCell ref="A30:B30"/>
    <mergeCell ref="A31:D31"/>
    <mergeCell ref="B32:C32"/>
    <mergeCell ref="A41:B41"/>
    <mergeCell ref="A42:D42"/>
    <mergeCell ref="B43:C43"/>
    <mergeCell ref="A50:D50"/>
    <mergeCell ref="A54:C54"/>
    <mergeCell ref="A55:D5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C6:D6"/>
    <mergeCell ref="A1:D1"/>
    <mergeCell ref="A2:D2"/>
    <mergeCell ref="A3:D3"/>
    <mergeCell ref="C4:D4"/>
    <mergeCell ref="C5:D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E124"/>
  <sheetViews>
    <sheetView view="pageBreakPreview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93"/>
      <c r="B1" s="394"/>
      <c r="C1" s="394"/>
      <c r="D1" s="394"/>
      <c r="E1" s="395"/>
    </row>
    <row r="2" spans="1:5" s="38" customFormat="1" ht="16.5" customHeight="1" x14ac:dyDescent="0.25">
      <c r="A2" s="396" t="s">
        <v>132</v>
      </c>
      <c r="B2" s="397"/>
      <c r="C2" s="397"/>
      <c r="D2" s="397"/>
      <c r="E2" s="398"/>
    </row>
    <row r="3" spans="1:5" s="38" customFormat="1" x14ac:dyDescent="0.25">
      <c r="A3" s="399" t="s">
        <v>129</v>
      </c>
      <c r="B3" s="400"/>
      <c r="C3" s="400"/>
      <c r="D3" s="400"/>
      <c r="E3" s="401"/>
    </row>
    <row r="4" spans="1:5" s="38" customFormat="1" ht="15" customHeight="1" x14ac:dyDescent="0.25">
      <c r="A4" s="40" t="s">
        <v>0</v>
      </c>
      <c r="B4" s="41" t="s">
        <v>1</v>
      </c>
      <c r="C4" s="402">
        <v>2024</v>
      </c>
      <c r="D4" s="402"/>
      <c r="E4" s="403"/>
    </row>
    <row r="5" spans="1:5" s="38" customFormat="1" ht="75" customHeight="1" x14ac:dyDescent="0.25">
      <c r="A5" s="40" t="s">
        <v>2</v>
      </c>
      <c r="B5" s="41" t="s">
        <v>140</v>
      </c>
      <c r="C5" s="391" t="s">
        <v>268</v>
      </c>
      <c r="D5" s="391"/>
      <c r="E5" s="392"/>
    </row>
    <row r="6" spans="1:5" s="38" customFormat="1" ht="15.75" customHeight="1" x14ac:dyDescent="0.25">
      <c r="A6" s="40" t="s">
        <v>3</v>
      </c>
      <c r="B6" s="41" t="s">
        <v>4</v>
      </c>
      <c r="C6" s="391" t="s">
        <v>271</v>
      </c>
      <c r="D6" s="391"/>
      <c r="E6" s="392"/>
    </row>
    <row r="7" spans="1:5" s="38" customFormat="1" x14ac:dyDescent="0.25">
      <c r="A7" s="40" t="s">
        <v>5</v>
      </c>
      <c r="B7" s="41" t="s">
        <v>143</v>
      </c>
      <c r="C7" s="391">
        <v>12</v>
      </c>
      <c r="D7" s="391"/>
      <c r="E7" s="392"/>
    </row>
    <row r="8" spans="1:5" s="38" customFormat="1" x14ac:dyDescent="0.25">
      <c r="A8" s="399" t="s">
        <v>6</v>
      </c>
      <c r="B8" s="400"/>
      <c r="C8" s="400"/>
      <c r="D8" s="400"/>
      <c r="E8" s="401"/>
    </row>
    <row r="9" spans="1:5" s="38" customFormat="1" x14ac:dyDescent="0.25">
      <c r="A9" s="399" t="s">
        <v>7</v>
      </c>
      <c r="B9" s="400"/>
      <c r="C9" s="400"/>
      <c r="D9" s="400"/>
      <c r="E9" s="401"/>
    </row>
    <row r="10" spans="1:5" s="38" customFormat="1" ht="15.75" customHeight="1" x14ac:dyDescent="0.25">
      <c r="A10" s="399" t="s">
        <v>8</v>
      </c>
      <c r="B10" s="400"/>
      <c r="C10" s="400"/>
      <c r="D10" s="400"/>
      <c r="E10" s="401"/>
    </row>
    <row r="11" spans="1:5" s="38" customFormat="1" ht="30" customHeight="1" x14ac:dyDescent="0.25">
      <c r="A11" s="407" t="s">
        <v>9</v>
      </c>
      <c r="B11" s="408"/>
      <c r="C11" s="408"/>
      <c r="D11" s="470" t="s">
        <v>10</v>
      </c>
      <c r="E11" s="471"/>
    </row>
    <row r="12" spans="1:5" s="38" customFormat="1" ht="60" customHeight="1" x14ac:dyDescent="0.25">
      <c r="A12" s="40">
        <v>1</v>
      </c>
      <c r="B12" s="42" t="s">
        <v>133</v>
      </c>
      <c r="C12" s="409" t="s">
        <v>269</v>
      </c>
      <c r="D12" s="409"/>
      <c r="E12" s="410"/>
    </row>
    <row r="13" spans="1:5" s="38" customFormat="1" ht="30" customHeight="1" x14ac:dyDescent="0.25">
      <c r="A13" s="40">
        <v>2</v>
      </c>
      <c r="B13" s="42" t="s">
        <v>11</v>
      </c>
      <c r="C13" s="444">
        <v>4750</v>
      </c>
      <c r="D13" s="444"/>
      <c r="E13" s="467"/>
    </row>
    <row r="14" spans="1:5" s="38" customFormat="1" ht="15.75" customHeight="1" x14ac:dyDescent="0.25">
      <c r="A14" s="40">
        <v>3</v>
      </c>
      <c r="B14" s="42" t="s">
        <v>12</v>
      </c>
      <c r="C14" s="409" t="s">
        <v>231</v>
      </c>
      <c r="D14" s="409"/>
      <c r="E14" s="410"/>
    </row>
    <row r="15" spans="1:5" s="38" customFormat="1" x14ac:dyDescent="0.25">
      <c r="A15" s="40">
        <v>4</v>
      </c>
      <c r="B15" s="43" t="s">
        <v>13</v>
      </c>
      <c r="C15" s="411"/>
      <c r="D15" s="411"/>
      <c r="E15" s="412"/>
    </row>
    <row r="16" spans="1:5" s="39" customFormat="1" x14ac:dyDescent="0.25">
      <c r="A16" s="404" t="s">
        <v>14</v>
      </c>
      <c r="B16" s="405"/>
      <c r="C16" s="405"/>
      <c r="D16" s="215" t="s">
        <v>275</v>
      </c>
      <c r="E16" s="216" t="s">
        <v>266</v>
      </c>
    </row>
    <row r="17" spans="1:5" s="39" customFormat="1" x14ac:dyDescent="0.25">
      <c r="A17" s="44">
        <v>1</v>
      </c>
      <c r="B17" s="406" t="s">
        <v>15</v>
      </c>
      <c r="C17" s="406"/>
      <c r="D17" s="61" t="s">
        <v>10</v>
      </c>
      <c r="E17" s="62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4750</v>
      </c>
      <c r="E18" s="63">
        <f>C13</f>
        <v>4750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64"/>
    </row>
    <row r="20" spans="1:5" s="38" customFormat="1" ht="15.75" customHeight="1" x14ac:dyDescent="0.25">
      <c r="A20" s="45" t="s">
        <v>3</v>
      </c>
      <c r="B20" s="46" t="s">
        <v>18</v>
      </c>
      <c r="C20" s="115" t="s">
        <v>244</v>
      </c>
      <c r="D20" s="83">
        <f>40%*1412</f>
        <v>564.79999999999995</v>
      </c>
      <c r="E20" s="64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/>
      <c r="E21" s="64"/>
    </row>
    <row r="22" spans="1:5" s="38" customFormat="1" ht="15.75" customHeight="1" x14ac:dyDescent="0.25">
      <c r="A22" s="45" t="s">
        <v>20</v>
      </c>
      <c r="B22" s="46" t="s">
        <v>203</v>
      </c>
      <c r="C22" s="82"/>
      <c r="D22" s="83"/>
      <c r="E22" s="64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64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64"/>
    </row>
    <row r="25" spans="1:5" s="39" customFormat="1" ht="15.75" customHeight="1" x14ac:dyDescent="0.25">
      <c r="A25" s="418" t="s">
        <v>152</v>
      </c>
      <c r="B25" s="419"/>
      <c r="C25" s="419"/>
      <c r="D25" s="70">
        <f>SUM(D18:D24)</f>
        <v>5314.8</v>
      </c>
      <c r="E25" s="65">
        <f>SUM(E18:E24)</f>
        <v>5314.8</v>
      </c>
    </row>
    <row r="26" spans="1:5" s="39" customFormat="1" x14ac:dyDescent="0.25">
      <c r="A26" s="404" t="s">
        <v>51</v>
      </c>
      <c r="B26" s="405"/>
      <c r="C26" s="405"/>
      <c r="D26" s="182"/>
      <c r="E26" s="150"/>
    </row>
    <row r="27" spans="1:5" s="38" customFormat="1" x14ac:dyDescent="0.25">
      <c r="A27" s="52">
        <v>2</v>
      </c>
      <c r="B27" s="420" t="s">
        <v>204</v>
      </c>
      <c r="C27" s="421"/>
      <c r="D27" s="74" t="s">
        <v>10</v>
      </c>
      <c r="E27" s="165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442.72</v>
      </c>
      <c r="E28" s="66">
        <f>(E25)*C28</f>
        <v>442.72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590.47</v>
      </c>
      <c r="E29" s="66">
        <f>(E25)*C29</f>
        <v>590.47</v>
      </c>
    </row>
    <row r="30" spans="1:5" x14ac:dyDescent="0.25">
      <c r="A30" s="416" t="s">
        <v>27</v>
      </c>
      <c r="B30" s="417"/>
      <c r="C30" s="99">
        <f>SUM(C28:C29)</f>
        <v>0.19439999999999999</v>
      </c>
      <c r="D30" s="86">
        <f>SUM(D28:D29)</f>
        <v>1033.19</v>
      </c>
      <c r="E30" s="67">
        <f>SUM(E28:E29)</f>
        <v>1033.19</v>
      </c>
    </row>
    <row r="31" spans="1:5" ht="32.25" customHeight="1" x14ac:dyDescent="0.25">
      <c r="A31" s="476" t="s">
        <v>205</v>
      </c>
      <c r="B31" s="477"/>
      <c r="C31" s="477"/>
      <c r="D31" s="477"/>
      <c r="E31" s="478"/>
    </row>
    <row r="32" spans="1:5" x14ac:dyDescent="0.25">
      <c r="A32" s="77" t="s">
        <v>214</v>
      </c>
      <c r="B32" s="422" t="s">
        <v>25</v>
      </c>
      <c r="C32" s="423"/>
      <c r="D32" s="75" t="s">
        <v>10</v>
      </c>
      <c r="E32" s="159" t="s">
        <v>10</v>
      </c>
    </row>
    <row r="33" spans="1:5" x14ac:dyDescent="0.25">
      <c r="A33" s="50" t="s">
        <v>0</v>
      </c>
      <c r="B33" s="87" t="s">
        <v>206</v>
      </c>
      <c r="C33" s="59">
        <v>0.2</v>
      </c>
      <c r="D33" s="84">
        <f>(D25+D30)*C33</f>
        <v>1269.5999999999999</v>
      </c>
      <c r="E33" s="66">
        <f>(E25+E30)*C33</f>
        <v>1269.5999999999999</v>
      </c>
    </row>
    <row r="34" spans="1:5" x14ac:dyDescent="0.25">
      <c r="A34" s="50" t="s">
        <v>2</v>
      </c>
      <c r="B34" s="87" t="s">
        <v>207</v>
      </c>
      <c r="C34" s="88">
        <v>1.4999999999999999E-2</v>
      </c>
      <c r="D34" s="84">
        <f>(D25+D30)*C34</f>
        <v>95.22</v>
      </c>
      <c r="E34" s="66">
        <f>(E25+E30)*C34</f>
        <v>95.22</v>
      </c>
    </row>
    <row r="35" spans="1:5" x14ac:dyDescent="0.25">
      <c r="A35" s="50" t="s">
        <v>3</v>
      </c>
      <c r="B35" s="87" t="s">
        <v>208</v>
      </c>
      <c r="C35" s="88">
        <v>0.01</v>
      </c>
      <c r="D35" s="84">
        <f>(D25+D30)*C35</f>
        <v>63.48</v>
      </c>
      <c r="E35" s="66">
        <f>(E25+E30)*C35</f>
        <v>63.48</v>
      </c>
    </row>
    <row r="36" spans="1:5" ht="31.5" x14ac:dyDescent="0.25">
      <c r="A36" s="50" t="s">
        <v>5</v>
      </c>
      <c r="B36" s="73" t="s">
        <v>209</v>
      </c>
      <c r="C36" s="88">
        <v>2E-3</v>
      </c>
      <c r="D36" s="84">
        <f>(D25+D30)*C36</f>
        <v>12.7</v>
      </c>
      <c r="E36" s="66">
        <f>(E25+E30)*C36</f>
        <v>12.7</v>
      </c>
    </row>
    <row r="37" spans="1:5" x14ac:dyDescent="0.25">
      <c r="A37" s="50" t="s">
        <v>20</v>
      </c>
      <c r="B37" s="87" t="s">
        <v>210</v>
      </c>
      <c r="C37" s="88">
        <v>2.5000000000000001E-2</v>
      </c>
      <c r="D37" s="84">
        <f>(D25+D30)*C37</f>
        <v>158.69999999999999</v>
      </c>
      <c r="E37" s="66">
        <f>(E25+E30)*C37</f>
        <v>158.69999999999999</v>
      </c>
    </row>
    <row r="38" spans="1:5" x14ac:dyDescent="0.25">
      <c r="A38" s="50" t="s">
        <v>21</v>
      </c>
      <c r="B38" s="114" t="s">
        <v>211</v>
      </c>
      <c r="C38" s="88">
        <v>0.08</v>
      </c>
      <c r="D38" s="84">
        <f>(D25+D30)*C38</f>
        <v>507.84</v>
      </c>
      <c r="E38" s="66">
        <f>(E25+E30)*C38</f>
        <v>507.84</v>
      </c>
    </row>
    <row r="39" spans="1:5" ht="30.75" customHeight="1" x14ac:dyDescent="0.25">
      <c r="A39" s="50" t="s">
        <v>22</v>
      </c>
      <c r="B39" s="73" t="s">
        <v>212</v>
      </c>
      <c r="C39" s="88">
        <v>0.03</v>
      </c>
      <c r="D39" s="84">
        <f>(D25+D30)*C39</f>
        <v>190.44</v>
      </c>
      <c r="E39" s="66">
        <f>(E25+E30)*C39</f>
        <v>190.44</v>
      </c>
    </row>
    <row r="40" spans="1:5" x14ac:dyDescent="0.25">
      <c r="A40" s="50" t="s">
        <v>26</v>
      </c>
      <c r="B40" s="113" t="s">
        <v>213</v>
      </c>
      <c r="C40" s="88">
        <v>6.0000000000000001E-3</v>
      </c>
      <c r="D40" s="84">
        <f>(D25+D30)*C40</f>
        <v>38.090000000000003</v>
      </c>
      <c r="E40" s="66">
        <f>(E25+E30)*C40</f>
        <v>38.090000000000003</v>
      </c>
    </row>
    <row r="41" spans="1:5" s="30" customFormat="1" x14ac:dyDescent="0.25">
      <c r="A41" s="416" t="s">
        <v>27</v>
      </c>
      <c r="B41" s="417"/>
      <c r="C41" s="60">
        <f>SUM(C33:C40)</f>
        <v>0.36799999999999999</v>
      </c>
      <c r="D41" s="86">
        <f>SUM(D33:D40)</f>
        <v>2336.0700000000002</v>
      </c>
      <c r="E41" s="67">
        <f>SUM(E33:E40)</f>
        <v>2336.0700000000002</v>
      </c>
    </row>
    <row r="42" spans="1:5" s="30" customFormat="1" x14ac:dyDescent="0.25">
      <c r="A42" s="80" t="s">
        <v>215</v>
      </c>
      <c r="B42" s="414" t="s">
        <v>216</v>
      </c>
      <c r="C42" s="415"/>
      <c r="D42" s="174" t="s">
        <v>10</v>
      </c>
      <c r="E42" s="174" t="s">
        <v>10</v>
      </c>
    </row>
    <row r="43" spans="1:5" s="30" customFormat="1" x14ac:dyDescent="0.25">
      <c r="A43" s="98" t="s">
        <v>0</v>
      </c>
      <c r="B43" s="56" t="s">
        <v>144</v>
      </c>
      <c r="C43" s="112"/>
      <c r="D43" s="83">
        <v>0</v>
      </c>
      <c r="E43" s="83">
        <v>0</v>
      </c>
    </row>
    <row r="44" spans="1:5" s="30" customFormat="1" x14ac:dyDescent="0.25">
      <c r="A44" s="48" t="s">
        <v>2</v>
      </c>
      <c r="B44" s="47" t="s">
        <v>217</v>
      </c>
      <c r="C44" s="79"/>
      <c r="D44" s="83">
        <v>0</v>
      </c>
      <c r="E44" s="83">
        <v>0</v>
      </c>
    </row>
    <row r="45" spans="1:5" s="30" customFormat="1" x14ac:dyDescent="0.25">
      <c r="A45" s="50" t="s">
        <v>5</v>
      </c>
      <c r="B45" s="51" t="s">
        <v>134</v>
      </c>
      <c r="C45" s="90"/>
      <c r="D45" s="83">
        <v>0</v>
      </c>
      <c r="E45" s="83">
        <v>0</v>
      </c>
    </row>
    <row r="46" spans="1:5" s="30" customFormat="1" x14ac:dyDescent="0.25">
      <c r="A46" s="50" t="s">
        <v>20</v>
      </c>
      <c r="B46" s="51" t="s">
        <v>135</v>
      </c>
      <c r="C46" s="59"/>
      <c r="D46" s="83">
        <v>0</v>
      </c>
      <c r="E46" s="83">
        <v>0</v>
      </c>
    </row>
    <row r="47" spans="1:5" s="30" customFormat="1" x14ac:dyDescent="0.25">
      <c r="A47" s="50" t="s">
        <v>21</v>
      </c>
      <c r="B47" s="51" t="s">
        <v>136</v>
      </c>
      <c r="C47" s="90"/>
      <c r="D47" s="83">
        <v>0</v>
      </c>
      <c r="E47" s="83">
        <v>0</v>
      </c>
    </row>
    <row r="48" spans="1:5" s="30" customFormat="1" ht="15.75" customHeight="1" x14ac:dyDescent="0.25">
      <c r="A48" s="416" t="s">
        <v>23</v>
      </c>
      <c r="B48" s="417"/>
      <c r="C48" s="417"/>
      <c r="D48" s="86">
        <f>SUM(D43:D47)</f>
        <v>0</v>
      </c>
      <c r="E48" s="67">
        <f>SUM(E43:E47)</f>
        <v>0</v>
      </c>
    </row>
    <row r="49" spans="1:5" s="30" customFormat="1" ht="15.75" customHeight="1" x14ac:dyDescent="0.25">
      <c r="A49" s="404" t="s">
        <v>151</v>
      </c>
      <c r="B49" s="405"/>
      <c r="C49" s="405"/>
      <c r="D49" s="405"/>
      <c r="E49" s="479"/>
    </row>
    <row r="50" spans="1:5" s="30" customFormat="1" ht="15.75" customHeight="1" x14ac:dyDescent="0.25">
      <c r="A50" s="44" t="s">
        <v>141</v>
      </c>
      <c r="B50" s="104" t="s">
        <v>145</v>
      </c>
      <c r="C50" s="57"/>
      <c r="D50" s="69">
        <f>D30</f>
        <v>1033.19</v>
      </c>
      <c r="E50" s="176">
        <f>E30</f>
        <v>1033.19</v>
      </c>
    </row>
    <row r="51" spans="1:5" s="30" customFormat="1" ht="15.75" customHeight="1" x14ac:dyDescent="0.25">
      <c r="A51" s="44" t="s">
        <v>214</v>
      </c>
      <c r="B51" s="104" t="s">
        <v>146</v>
      </c>
      <c r="C51" s="57"/>
      <c r="D51" s="69">
        <f>D41</f>
        <v>2336.0700000000002</v>
      </c>
      <c r="E51" s="176">
        <f>E41</f>
        <v>2336.0700000000002</v>
      </c>
    </row>
    <row r="52" spans="1:5" s="30" customFormat="1" ht="15.75" customHeight="1" x14ac:dyDescent="0.25">
      <c r="A52" s="44" t="s">
        <v>215</v>
      </c>
      <c r="B52" s="104" t="s">
        <v>147</v>
      </c>
      <c r="C52" s="57"/>
      <c r="D52" s="69">
        <f>D48</f>
        <v>0</v>
      </c>
      <c r="E52" s="176">
        <f>E48</f>
        <v>0</v>
      </c>
    </row>
    <row r="53" spans="1:5" s="30" customFormat="1" ht="15.75" customHeight="1" x14ac:dyDescent="0.25">
      <c r="A53" s="418" t="s">
        <v>153</v>
      </c>
      <c r="B53" s="419"/>
      <c r="C53" s="419"/>
      <c r="D53" s="70">
        <f>SUM(D50:D52)</f>
        <v>3369.26</v>
      </c>
      <c r="E53" s="65">
        <f>SUM(E50:E52)</f>
        <v>3369.26</v>
      </c>
    </row>
    <row r="54" spans="1:5" s="30" customFormat="1" ht="15.75" customHeight="1" x14ac:dyDescent="0.25">
      <c r="A54" s="404" t="s">
        <v>162</v>
      </c>
      <c r="B54" s="405"/>
      <c r="C54" s="405"/>
      <c r="D54" s="405"/>
      <c r="E54" s="479"/>
    </row>
    <row r="55" spans="1:5" s="30" customFormat="1" ht="15.75" customHeight="1" x14ac:dyDescent="0.25">
      <c r="A55" s="52" t="s">
        <v>199</v>
      </c>
      <c r="B55" s="420" t="s">
        <v>32</v>
      </c>
      <c r="C55" s="429"/>
      <c r="D55" s="74" t="s">
        <v>10</v>
      </c>
      <c r="E55" s="165" t="s">
        <v>10</v>
      </c>
    </row>
    <row r="56" spans="1:5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84">
        <f>D$25*C56</f>
        <v>24.45</v>
      </c>
      <c r="E56" s="66">
        <f>E$25*C56</f>
        <v>24.45</v>
      </c>
    </row>
    <row r="57" spans="1:5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84">
        <f>D$25*C57</f>
        <v>2.13</v>
      </c>
      <c r="E57" s="66">
        <f>E$25*C57</f>
        <v>2.13</v>
      </c>
    </row>
    <row r="58" spans="1:5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84">
        <f>D$25*C58</f>
        <v>103.11</v>
      </c>
      <c r="E58" s="66">
        <f>E$25*C58</f>
        <v>103.11</v>
      </c>
    </row>
    <row r="59" spans="1:5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84">
        <f>D$25*C59</f>
        <v>37.74</v>
      </c>
      <c r="E59" s="66">
        <f>E$25*C59</f>
        <v>37.74</v>
      </c>
    </row>
    <row r="60" spans="1:5" s="30" customFormat="1" ht="32.25" customHeight="1" x14ac:dyDescent="0.25">
      <c r="A60" s="50" t="s">
        <v>20</v>
      </c>
      <c r="B60" s="51" t="s">
        <v>218</v>
      </c>
      <c r="C60" s="59">
        <v>0.04</v>
      </c>
      <c r="D60" s="84">
        <f>D$25*C60</f>
        <v>212.59</v>
      </c>
      <c r="E60" s="66">
        <f>E$25*C60</f>
        <v>212.59</v>
      </c>
    </row>
    <row r="61" spans="1:5" s="30" customFormat="1" x14ac:dyDescent="0.25">
      <c r="A61" s="418" t="s">
        <v>154</v>
      </c>
      <c r="B61" s="419"/>
      <c r="C61" s="419"/>
      <c r="D61" s="70">
        <f>SUM(D56:D60)</f>
        <v>380.02</v>
      </c>
      <c r="E61" s="65">
        <f>SUM(E56:E60)</f>
        <v>380.02</v>
      </c>
    </row>
    <row r="62" spans="1:5" s="30" customFormat="1" x14ac:dyDescent="0.25">
      <c r="A62" s="404" t="s">
        <v>163</v>
      </c>
      <c r="B62" s="405"/>
      <c r="C62" s="405"/>
      <c r="D62" s="405"/>
      <c r="E62" s="479"/>
    </row>
    <row r="63" spans="1:5" s="30" customFormat="1" x14ac:dyDescent="0.25">
      <c r="A63" s="52" t="s">
        <v>198</v>
      </c>
      <c r="B63" s="430" t="s">
        <v>36</v>
      </c>
      <c r="C63" s="430"/>
      <c r="D63" s="74" t="s">
        <v>10</v>
      </c>
      <c r="E63" s="165" t="s">
        <v>10</v>
      </c>
    </row>
    <row r="64" spans="1:5" s="30" customFormat="1" x14ac:dyDescent="0.25">
      <c r="A64" s="50" t="s">
        <v>0</v>
      </c>
      <c r="B64" s="51" t="s">
        <v>191</v>
      </c>
      <c r="C64" s="59">
        <v>9.2999999999999992E-3</v>
      </c>
      <c r="D64" s="84">
        <f>(D25+D53+D61+D84)*C64</f>
        <v>84.64</v>
      </c>
      <c r="E64" s="66">
        <f>(E25+E53+E61+E84)*C64</f>
        <v>84.64</v>
      </c>
    </row>
    <row r="65" spans="1:5" s="30" customFormat="1" x14ac:dyDescent="0.25">
      <c r="A65" s="50" t="s">
        <v>2</v>
      </c>
      <c r="B65" s="51" t="s">
        <v>192</v>
      </c>
      <c r="C65" s="59">
        <v>1.66E-2</v>
      </c>
      <c r="D65" s="84">
        <f>(D$25+D$53+D$61+D84)*C65</f>
        <v>151.07</v>
      </c>
      <c r="E65" s="66">
        <f>(E$25+E$53+E$61+E84)*C65</f>
        <v>151.07</v>
      </c>
    </row>
    <row r="66" spans="1:5" s="30" customFormat="1" x14ac:dyDescent="0.25">
      <c r="A66" s="50" t="s">
        <v>3</v>
      </c>
      <c r="B66" s="51" t="s">
        <v>193</v>
      </c>
      <c r="C66" s="59">
        <v>2.0000000000000001E-4</v>
      </c>
      <c r="D66" s="84">
        <f>(D$25+D$53+D$61+D$84)*C66</f>
        <v>1.82</v>
      </c>
      <c r="E66" s="66">
        <f>(E$25+E$53+E$61+E$84)*C66</f>
        <v>1.82</v>
      </c>
    </row>
    <row r="67" spans="1:5" s="30" customFormat="1" x14ac:dyDescent="0.25">
      <c r="A67" s="50" t="s">
        <v>5</v>
      </c>
      <c r="B67" s="51" t="s">
        <v>194</v>
      </c>
      <c r="C67" s="59">
        <v>2.7000000000000001E-3</v>
      </c>
      <c r="D67" s="84">
        <f>(D$25+D$53+D$61+D$84)*C67</f>
        <v>24.57</v>
      </c>
      <c r="E67" s="66">
        <f>(E$25+E$53+E$61+E$84)*C67</f>
        <v>24.57</v>
      </c>
    </row>
    <row r="68" spans="1:5" s="30" customFormat="1" x14ac:dyDescent="0.25">
      <c r="A68" s="50" t="s">
        <v>20</v>
      </c>
      <c r="B68" s="51" t="s">
        <v>195</v>
      </c>
      <c r="C68" s="59">
        <v>2.9999999999999997E-4</v>
      </c>
      <c r="D68" s="84">
        <f>(D$25+D$53+D$61+D$84)*C68</f>
        <v>2.73</v>
      </c>
      <c r="E68" s="66">
        <f>(E$25+E$53+E$61+E$84)*C68</f>
        <v>2.73</v>
      </c>
    </row>
    <row r="69" spans="1:5" s="30" customFormat="1" ht="15.75" customHeight="1" x14ac:dyDescent="0.25">
      <c r="A69" s="50" t="s">
        <v>21</v>
      </c>
      <c r="B69" s="55" t="s">
        <v>196</v>
      </c>
      <c r="C69" s="59">
        <v>0</v>
      </c>
      <c r="D69" s="84">
        <f>(D$25+D$53+D$61+D$84)*C69</f>
        <v>0</v>
      </c>
      <c r="E69" s="66">
        <f>(E$25+E$53+E$61+E$84)*C69</f>
        <v>0</v>
      </c>
    </row>
    <row r="70" spans="1:5" s="30" customFormat="1" x14ac:dyDescent="0.25">
      <c r="A70" s="416" t="s">
        <v>29</v>
      </c>
      <c r="B70" s="417"/>
      <c r="C70" s="60">
        <f>SUM(C64:C69)</f>
        <v>2.9100000000000001E-2</v>
      </c>
      <c r="D70" s="86">
        <f>SUM(D64:D69)</f>
        <v>264.83</v>
      </c>
      <c r="E70" s="67">
        <f>SUM(E64:E69)</f>
        <v>264.83</v>
      </c>
    </row>
    <row r="71" spans="1:5" s="30" customFormat="1" x14ac:dyDescent="0.25">
      <c r="A71" s="44"/>
      <c r="B71" s="57"/>
      <c r="C71" s="78"/>
      <c r="D71" s="78"/>
      <c r="E71" s="63"/>
    </row>
    <row r="72" spans="1:5" s="30" customFormat="1" x14ac:dyDescent="0.25">
      <c r="A72" s="44"/>
      <c r="B72" s="406" t="s">
        <v>200</v>
      </c>
      <c r="C72" s="431"/>
      <c r="D72" s="74" t="s">
        <v>10</v>
      </c>
      <c r="E72" s="165" t="s">
        <v>10</v>
      </c>
    </row>
    <row r="73" spans="1:5" s="30" customFormat="1" x14ac:dyDescent="0.25">
      <c r="A73" s="48" t="s">
        <v>0</v>
      </c>
      <c r="B73" s="116" t="s">
        <v>201</v>
      </c>
      <c r="C73" s="100">
        <v>0</v>
      </c>
      <c r="D73" s="189">
        <v>0</v>
      </c>
      <c r="E73" s="190">
        <v>0</v>
      </c>
    </row>
    <row r="74" spans="1:5" s="30" customFormat="1" ht="15.75" customHeight="1" x14ac:dyDescent="0.25">
      <c r="A74" s="416" t="s">
        <v>27</v>
      </c>
      <c r="B74" s="417"/>
      <c r="C74" s="101">
        <v>0</v>
      </c>
      <c r="D74" s="86">
        <f>D73</f>
        <v>0</v>
      </c>
      <c r="E74" s="67">
        <f>E73</f>
        <v>0</v>
      </c>
    </row>
    <row r="75" spans="1:5" s="30" customFormat="1" ht="15.75" customHeight="1" x14ac:dyDescent="0.25">
      <c r="A75" s="404" t="s">
        <v>30</v>
      </c>
      <c r="B75" s="405"/>
      <c r="C75" s="405"/>
      <c r="D75" s="405"/>
      <c r="E75" s="479"/>
    </row>
    <row r="76" spans="1:5" s="30" customFormat="1" ht="15.75" customHeight="1" x14ac:dyDescent="0.25">
      <c r="A76" s="432" t="s">
        <v>202</v>
      </c>
      <c r="B76" s="433"/>
      <c r="C76" s="433"/>
      <c r="D76" s="433"/>
      <c r="E76" s="485"/>
    </row>
    <row r="77" spans="1:5" s="30" customFormat="1" ht="15.75" customHeight="1" x14ac:dyDescent="0.25">
      <c r="A77" s="52">
        <v>4</v>
      </c>
      <c r="B77" s="420" t="s">
        <v>219</v>
      </c>
      <c r="C77" s="429"/>
      <c r="D77" s="74" t="s">
        <v>10</v>
      </c>
      <c r="E77" s="165" t="s">
        <v>10</v>
      </c>
    </row>
    <row r="78" spans="1:5" s="30" customFormat="1" ht="15.75" customHeight="1" x14ac:dyDescent="0.25">
      <c r="A78" s="50" t="s">
        <v>198</v>
      </c>
      <c r="B78" s="51" t="s">
        <v>197</v>
      </c>
      <c r="C78" s="59">
        <f>C70</f>
        <v>2.9100000000000001E-2</v>
      </c>
      <c r="D78" s="84">
        <f>D70</f>
        <v>264.83</v>
      </c>
      <c r="E78" s="66">
        <f>E70</f>
        <v>264.83</v>
      </c>
    </row>
    <row r="79" spans="1:5" s="30" customFormat="1" ht="15.75" customHeight="1" x14ac:dyDescent="0.25">
      <c r="A79" s="50" t="s">
        <v>220</v>
      </c>
      <c r="B79" s="51" t="s">
        <v>200</v>
      </c>
      <c r="C79" s="59">
        <v>0</v>
      </c>
      <c r="D79" s="84">
        <f>(D$25+D$53+D$61)*C79</f>
        <v>0</v>
      </c>
      <c r="E79" s="66">
        <f>(E$25+E$53+E$61)*C79</f>
        <v>0</v>
      </c>
    </row>
    <row r="80" spans="1:5" s="30" customFormat="1" ht="15.75" customHeight="1" x14ac:dyDescent="0.25">
      <c r="A80" s="416" t="s">
        <v>27</v>
      </c>
      <c r="B80" s="417"/>
      <c r="C80" s="99">
        <f>SUM(C78:C79)</f>
        <v>2.9100000000000001E-2</v>
      </c>
      <c r="D80" s="86">
        <f>SUM(D78:D79)</f>
        <v>264.83</v>
      </c>
      <c r="E80" s="67">
        <f>SUM(E78:E79)</f>
        <v>264.83</v>
      </c>
    </row>
    <row r="81" spans="1:5" s="30" customFormat="1" ht="15.75" customHeight="1" x14ac:dyDescent="0.25">
      <c r="A81" s="418" t="s">
        <v>155</v>
      </c>
      <c r="B81" s="419"/>
      <c r="C81" s="419"/>
      <c r="D81" s="70">
        <f>SUM(D74+D80)</f>
        <v>264.83</v>
      </c>
      <c r="E81" s="65">
        <f>SUM(E74+E80)</f>
        <v>264.83</v>
      </c>
    </row>
    <row r="82" spans="1:5" s="30" customFormat="1" ht="15.75" customHeight="1" x14ac:dyDescent="0.25">
      <c r="A82" s="427" t="s">
        <v>164</v>
      </c>
      <c r="B82" s="428"/>
      <c r="C82" s="428"/>
      <c r="D82" s="428"/>
      <c r="E82" s="484"/>
    </row>
    <row r="83" spans="1:5" s="30" customFormat="1" ht="15.75" customHeight="1" x14ac:dyDescent="0.25">
      <c r="A83" s="52">
        <v>5</v>
      </c>
      <c r="B83" s="420" t="s">
        <v>24</v>
      </c>
      <c r="C83" s="429"/>
      <c r="D83" s="74" t="s">
        <v>10</v>
      </c>
      <c r="E83" s="165" t="s">
        <v>10</v>
      </c>
    </row>
    <row r="84" spans="1:5" s="30" customFormat="1" ht="15.75" customHeight="1" x14ac:dyDescent="0.25">
      <c r="A84" s="233" t="s">
        <v>0</v>
      </c>
      <c r="B84" s="435" t="s">
        <v>221</v>
      </c>
      <c r="C84" s="435"/>
      <c r="D84" s="227">
        <f>Uniformes!H7</f>
        <v>36.61</v>
      </c>
      <c r="E84" s="228">
        <f>Uniformes!H7</f>
        <v>36.61</v>
      </c>
    </row>
    <row r="85" spans="1:5" s="30" customFormat="1" ht="15.75" customHeight="1" x14ac:dyDescent="0.25">
      <c r="A85" s="233" t="s">
        <v>2</v>
      </c>
      <c r="B85" s="435" t="s">
        <v>222</v>
      </c>
      <c r="C85" s="435"/>
      <c r="D85" s="227">
        <f>Materiais!H19</f>
        <v>44.57</v>
      </c>
      <c r="E85" s="228">
        <f>Materiais!H20</f>
        <v>44.57</v>
      </c>
    </row>
    <row r="86" spans="1:5" s="30" customFormat="1" ht="15.75" customHeight="1" x14ac:dyDescent="0.25">
      <c r="A86" s="233" t="s">
        <v>3</v>
      </c>
      <c r="B86" s="435" t="s">
        <v>187</v>
      </c>
      <c r="C86" s="435"/>
      <c r="D86" s="227">
        <f>Equipamentos!H19</f>
        <v>922.4</v>
      </c>
      <c r="E86" s="228">
        <f>Equipamentos!H20</f>
        <v>922.4</v>
      </c>
    </row>
    <row r="87" spans="1:5" s="30" customFormat="1" ht="15.75" customHeight="1" x14ac:dyDescent="0.25">
      <c r="A87" s="233" t="s">
        <v>5</v>
      </c>
      <c r="B87" s="435" t="s">
        <v>137</v>
      </c>
      <c r="C87" s="435"/>
      <c r="D87" s="227">
        <v>0</v>
      </c>
      <c r="E87" s="228">
        <v>0</v>
      </c>
    </row>
    <row r="88" spans="1:5" s="30" customFormat="1" ht="15.75" customHeight="1" x14ac:dyDescent="0.25">
      <c r="A88" s="418" t="s">
        <v>156</v>
      </c>
      <c r="B88" s="419"/>
      <c r="C88" s="419"/>
      <c r="D88" s="70">
        <f>SUM(D84:D87)</f>
        <v>1003.58</v>
      </c>
      <c r="E88" s="65">
        <f>SUM(E84:E87)</f>
        <v>1003.58</v>
      </c>
    </row>
    <row r="89" spans="1:5" s="30" customFormat="1" ht="30" customHeight="1" x14ac:dyDescent="0.25">
      <c r="A89" s="427" t="s">
        <v>224</v>
      </c>
      <c r="B89" s="428"/>
      <c r="C89" s="428"/>
      <c r="D89" s="161">
        <f>D88+D81+D61+D53+D25</f>
        <v>10332.49</v>
      </c>
      <c r="E89" s="184">
        <f>E88+E81+E61+E53+E25</f>
        <v>10332.49</v>
      </c>
    </row>
    <row r="90" spans="1:5" s="30" customFormat="1" ht="19.5" customHeight="1" x14ac:dyDescent="0.25">
      <c r="A90" s="404" t="s">
        <v>165</v>
      </c>
      <c r="B90" s="405"/>
      <c r="C90" s="405"/>
      <c r="D90" s="405"/>
      <c r="E90" s="479"/>
    </row>
    <row r="91" spans="1:5" s="30" customFormat="1" x14ac:dyDescent="0.25">
      <c r="A91" s="52">
        <v>5</v>
      </c>
      <c r="B91" s="420" t="s">
        <v>38</v>
      </c>
      <c r="C91" s="421"/>
      <c r="D91" s="74" t="s">
        <v>10</v>
      </c>
      <c r="E91" s="165" t="s">
        <v>10</v>
      </c>
    </row>
    <row r="92" spans="1:5" s="30" customFormat="1" x14ac:dyDescent="0.25">
      <c r="A92" s="52" t="s">
        <v>0</v>
      </c>
      <c r="B92" s="51" t="s">
        <v>39</v>
      </c>
      <c r="C92" s="59">
        <v>0.03</v>
      </c>
      <c r="D92" s="84">
        <f>+D89*C92</f>
        <v>309.97000000000003</v>
      </c>
      <c r="E92" s="66">
        <f>+E89*C92</f>
        <v>309.97000000000003</v>
      </c>
    </row>
    <row r="93" spans="1:5" s="30" customFormat="1" x14ac:dyDescent="0.25">
      <c r="A93" s="52" t="s">
        <v>2</v>
      </c>
      <c r="B93" s="51" t="s">
        <v>40</v>
      </c>
      <c r="C93" s="59">
        <v>6.7900000000000002E-2</v>
      </c>
      <c r="D93" s="84">
        <f>C93*(+D89+D92)</f>
        <v>722.62</v>
      </c>
      <c r="E93" s="66">
        <f>C93*(+E89+E92)</f>
        <v>722.62</v>
      </c>
    </row>
    <row r="94" spans="1:5" s="30" customFormat="1" ht="31.5" x14ac:dyDescent="0.25">
      <c r="A94" s="436" t="s">
        <v>3</v>
      </c>
      <c r="B94" s="51" t="s">
        <v>50</v>
      </c>
      <c r="C94" s="59">
        <f>1-C102</f>
        <v>0.85750000000000004</v>
      </c>
      <c r="D94" s="84">
        <f>+D89+D92+D93</f>
        <v>11365.08</v>
      </c>
      <c r="E94" s="66">
        <f>+E89+E92+E93</f>
        <v>11365.08</v>
      </c>
    </row>
    <row r="95" spans="1:5" s="30" customFormat="1" x14ac:dyDescent="0.25">
      <c r="A95" s="436"/>
      <c r="B95" s="55" t="s">
        <v>41</v>
      </c>
      <c r="C95" s="95"/>
      <c r="D95" s="162">
        <f>+D94/C94</f>
        <v>13253.74</v>
      </c>
      <c r="E95" s="185">
        <f>+E94/C94</f>
        <v>13253.74</v>
      </c>
    </row>
    <row r="96" spans="1:5" s="30" customFormat="1" x14ac:dyDescent="0.25">
      <c r="A96" s="436"/>
      <c r="B96" s="55" t="s">
        <v>42</v>
      </c>
      <c r="C96" s="72"/>
      <c r="D96" s="84"/>
      <c r="E96" s="66"/>
    </row>
    <row r="97" spans="1:5" s="30" customFormat="1" x14ac:dyDescent="0.25">
      <c r="A97" s="436"/>
      <c r="B97" s="51" t="s">
        <v>130</v>
      </c>
      <c r="C97" s="59">
        <v>1.6500000000000001E-2</v>
      </c>
      <c r="D97" s="84">
        <f>+D95*C97</f>
        <v>218.69</v>
      </c>
      <c r="E97" s="66">
        <f>+E95*C97</f>
        <v>218.69</v>
      </c>
    </row>
    <row r="98" spans="1:5" s="30" customFormat="1" x14ac:dyDescent="0.25">
      <c r="A98" s="436"/>
      <c r="B98" s="51" t="s">
        <v>131</v>
      </c>
      <c r="C98" s="59">
        <v>7.5999999999999998E-2</v>
      </c>
      <c r="D98" s="84">
        <f>+D95*C98</f>
        <v>1007.28</v>
      </c>
      <c r="E98" s="66">
        <f>+E95*C98</f>
        <v>1007.28</v>
      </c>
    </row>
    <row r="99" spans="1:5" s="30" customFormat="1" x14ac:dyDescent="0.25">
      <c r="A99" s="436"/>
      <c r="B99" s="53" t="s">
        <v>43</v>
      </c>
      <c r="C99" s="95"/>
      <c r="D99" s="84"/>
      <c r="E99" s="66"/>
    </row>
    <row r="100" spans="1:5" s="30" customFormat="1" x14ac:dyDescent="0.25">
      <c r="A100" s="436"/>
      <c r="B100" s="53" t="s">
        <v>44</v>
      </c>
      <c r="C100" s="102"/>
      <c r="D100" s="84"/>
      <c r="E100" s="66"/>
    </row>
    <row r="101" spans="1:5" s="30" customFormat="1" x14ac:dyDescent="0.25">
      <c r="A101" s="436"/>
      <c r="B101" s="51" t="s">
        <v>142</v>
      </c>
      <c r="C101" s="59">
        <v>0.05</v>
      </c>
      <c r="D101" s="84">
        <f>+D95*C101</f>
        <v>662.69</v>
      </c>
      <c r="E101" s="66">
        <f>+E95*C101</f>
        <v>662.69</v>
      </c>
    </row>
    <row r="102" spans="1:5" s="30" customFormat="1" x14ac:dyDescent="0.25">
      <c r="A102" s="52"/>
      <c r="B102" s="106" t="s">
        <v>45</v>
      </c>
      <c r="C102" s="107">
        <f>SUM(C97:C101)</f>
        <v>0.14249999999999999</v>
      </c>
      <c r="D102" s="108">
        <f>SUM(D97:D101)</f>
        <v>1888.66</v>
      </c>
      <c r="E102" s="179">
        <f>SUM(E97:E101)</f>
        <v>1888.66</v>
      </c>
    </row>
    <row r="103" spans="1:5" s="30" customFormat="1" ht="15.75" customHeight="1" x14ac:dyDescent="0.25">
      <c r="A103" s="416" t="s">
        <v>46</v>
      </c>
      <c r="B103" s="417"/>
      <c r="C103" s="417"/>
      <c r="D103" s="86">
        <f>+D92+D93+D102</f>
        <v>2921.25</v>
      </c>
      <c r="E103" s="67">
        <f>+E92+E93+E102</f>
        <v>2921.25</v>
      </c>
    </row>
    <row r="104" spans="1:5" s="30" customFormat="1" ht="15.75" customHeight="1" x14ac:dyDescent="0.25">
      <c r="A104" s="442" t="s">
        <v>47</v>
      </c>
      <c r="B104" s="443"/>
      <c r="C104" s="443"/>
      <c r="D104" s="76" t="s">
        <v>10</v>
      </c>
      <c r="E104" s="180" t="s">
        <v>10</v>
      </c>
    </row>
    <row r="105" spans="1:5" s="30" customFormat="1" x14ac:dyDescent="0.25">
      <c r="A105" s="50" t="s">
        <v>0</v>
      </c>
      <c r="B105" s="438" t="s">
        <v>48</v>
      </c>
      <c r="C105" s="438"/>
      <c r="D105" s="84">
        <f>D25</f>
        <v>5314.8</v>
      </c>
      <c r="E105" s="66">
        <f>E25</f>
        <v>5314.8</v>
      </c>
    </row>
    <row r="106" spans="1:5" s="30" customFormat="1" x14ac:dyDescent="0.25">
      <c r="A106" s="50" t="s">
        <v>2</v>
      </c>
      <c r="B106" s="438" t="s">
        <v>159</v>
      </c>
      <c r="C106" s="438"/>
      <c r="D106" s="84">
        <f>D53</f>
        <v>3369.26</v>
      </c>
      <c r="E106" s="66">
        <f>E53</f>
        <v>3369.26</v>
      </c>
    </row>
    <row r="107" spans="1:5" s="30" customFormat="1" x14ac:dyDescent="0.25">
      <c r="A107" s="50" t="s">
        <v>3</v>
      </c>
      <c r="B107" s="438" t="s">
        <v>157</v>
      </c>
      <c r="C107" s="438"/>
      <c r="D107" s="84">
        <f>D61</f>
        <v>380.02</v>
      </c>
      <c r="E107" s="66">
        <f>E61</f>
        <v>380.02</v>
      </c>
    </row>
    <row r="108" spans="1:5" s="30" customFormat="1" x14ac:dyDescent="0.25">
      <c r="A108" s="50" t="s">
        <v>5</v>
      </c>
      <c r="B108" s="438" t="s">
        <v>150</v>
      </c>
      <c r="C108" s="438"/>
      <c r="D108" s="84">
        <f>D81</f>
        <v>264.83</v>
      </c>
      <c r="E108" s="66">
        <f>E81</f>
        <v>264.83</v>
      </c>
    </row>
    <row r="109" spans="1:5" s="30" customFormat="1" x14ac:dyDescent="0.25">
      <c r="A109" s="50" t="s">
        <v>20</v>
      </c>
      <c r="B109" s="438" t="s">
        <v>158</v>
      </c>
      <c r="C109" s="438"/>
      <c r="D109" s="84">
        <f>D88</f>
        <v>1003.58</v>
      </c>
      <c r="E109" s="66">
        <f>E88</f>
        <v>1003.58</v>
      </c>
    </row>
    <row r="110" spans="1:5" s="30" customFormat="1" ht="15.75" customHeight="1" x14ac:dyDescent="0.25">
      <c r="A110" s="436" t="s">
        <v>160</v>
      </c>
      <c r="B110" s="437"/>
      <c r="C110" s="437"/>
      <c r="D110" s="108">
        <f>SUM(D105:D109)</f>
        <v>10332.49</v>
      </c>
      <c r="E110" s="179">
        <f>SUM(E105:E109)</f>
        <v>10332.49</v>
      </c>
    </row>
    <row r="111" spans="1:5" s="30" customFormat="1" x14ac:dyDescent="0.25">
      <c r="A111" s="52" t="s">
        <v>20</v>
      </c>
      <c r="B111" s="438" t="s">
        <v>161</v>
      </c>
      <c r="C111" s="438"/>
      <c r="D111" s="84">
        <f>+D103</f>
        <v>2921.25</v>
      </c>
      <c r="E111" s="66">
        <f>+E103</f>
        <v>2921.25</v>
      </c>
    </row>
    <row r="112" spans="1:5" s="30" customFormat="1" ht="16.5" customHeight="1" thickBot="1" x14ac:dyDescent="0.3">
      <c r="A112" s="439" t="s">
        <v>49</v>
      </c>
      <c r="B112" s="440"/>
      <c r="C112" s="440"/>
      <c r="D112" s="164">
        <f>+D110+D111</f>
        <v>13253.74</v>
      </c>
      <c r="E112" s="187">
        <f>+E110+E111</f>
        <v>13253.74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3">
    <mergeCell ref="B111:C111"/>
    <mergeCell ref="A112:C112"/>
    <mergeCell ref="B105:C105"/>
    <mergeCell ref="B106:C106"/>
    <mergeCell ref="B107:C107"/>
    <mergeCell ref="B108:C108"/>
    <mergeCell ref="B109:C109"/>
    <mergeCell ref="A110:C110"/>
    <mergeCell ref="A104:C104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103:C103"/>
    <mergeCell ref="A82:E82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C6:E6"/>
    <mergeCell ref="A1:E1"/>
    <mergeCell ref="A2:E2"/>
    <mergeCell ref="A3:E3"/>
    <mergeCell ref="C4:E4"/>
    <mergeCell ref="C5:E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A1:E124"/>
  <sheetViews>
    <sheetView view="pageBreakPreview" zoomScaleNormal="115" zoomScaleSheetLayoutView="100" workbookViewId="0">
      <selection activeCell="L21" sqref="L21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93"/>
      <c r="B1" s="394"/>
      <c r="C1" s="394"/>
      <c r="D1" s="394"/>
      <c r="E1" s="395"/>
    </row>
    <row r="2" spans="1:5" s="38" customFormat="1" ht="16.5" customHeight="1" x14ac:dyDescent="0.25">
      <c r="A2" s="396" t="s">
        <v>132</v>
      </c>
      <c r="B2" s="397"/>
      <c r="C2" s="397"/>
      <c r="D2" s="397"/>
      <c r="E2" s="398"/>
    </row>
    <row r="3" spans="1:5" s="38" customFormat="1" x14ac:dyDescent="0.25">
      <c r="A3" s="399" t="s">
        <v>129</v>
      </c>
      <c r="B3" s="400"/>
      <c r="C3" s="400"/>
      <c r="D3" s="400"/>
      <c r="E3" s="401"/>
    </row>
    <row r="4" spans="1:5" s="38" customFormat="1" ht="15" customHeight="1" x14ac:dyDescent="0.25">
      <c r="A4" s="40" t="s">
        <v>0</v>
      </c>
      <c r="B4" s="41" t="s">
        <v>1</v>
      </c>
      <c r="C4" s="402">
        <v>2024</v>
      </c>
      <c r="D4" s="402"/>
      <c r="E4" s="402"/>
    </row>
    <row r="5" spans="1:5" s="38" customFormat="1" ht="75" customHeight="1" x14ac:dyDescent="0.25">
      <c r="A5" s="40" t="s">
        <v>2</v>
      </c>
      <c r="B5" s="41" t="s">
        <v>140</v>
      </c>
      <c r="C5" s="391" t="s">
        <v>268</v>
      </c>
      <c r="D5" s="391"/>
      <c r="E5" s="391"/>
    </row>
    <row r="6" spans="1:5" s="38" customFormat="1" ht="15.75" customHeight="1" x14ac:dyDescent="0.25">
      <c r="A6" s="40" t="s">
        <v>3</v>
      </c>
      <c r="B6" s="41" t="s">
        <v>4</v>
      </c>
      <c r="C6" s="391" t="s">
        <v>271</v>
      </c>
      <c r="D6" s="391"/>
      <c r="E6" s="391"/>
    </row>
    <row r="7" spans="1:5" s="38" customFormat="1" x14ac:dyDescent="0.25">
      <c r="A7" s="40" t="s">
        <v>5</v>
      </c>
      <c r="B7" s="41" t="s">
        <v>143</v>
      </c>
      <c r="C7" s="391">
        <v>12</v>
      </c>
      <c r="D7" s="391"/>
      <c r="E7" s="391"/>
    </row>
    <row r="8" spans="1:5" s="38" customFormat="1" x14ac:dyDescent="0.25">
      <c r="A8" s="399" t="s">
        <v>6</v>
      </c>
      <c r="B8" s="400"/>
      <c r="C8" s="400"/>
      <c r="D8" s="400"/>
      <c r="E8" s="401"/>
    </row>
    <row r="9" spans="1:5" s="38" customFormat="1" x14ac:dyDescent="0.25">
      <c r="A9" s="399" t="s">
        <v>7</v>
      </c>
      <c r="B9" s="400"/>
      <c r="C9" s="400"/>
      <c r="D9" s="400"/>
      <c r="E9" s="401"/>
    </row>
    <row r="10" spans="1:5" s="38" customFormat="1" ht="15.75" customHeight="1" x14ac:dyDescent="0.25">
      <c r="A10" s="399" t="s">
        <v>8</v>
      </c>
      <c r="B10" s="400"/>
      <c r="C10" s="400"/>
      <c r="D10" s="400"/>
      <c r="E10" s="401"/>
    </row>
    <row r="11" spans="1:5" s="38" customFormat="1" ht="30" customHeight="1" x14ac:dyDescent="0.25">
      <c r="A11" s="407" t="s">
        <v>9</v>
      </c>
      <c r="B11" s="408"/>
      <c r="C11" s="408"/>
      <c r="D11" s="470" t="s">
        <v>10</v>
      </c>
      <c r="E11" s="471"/>
    </row>
    <row r="12" spans="1:5" s="38" customFormat="1" ht="60" customHeight="1" x14ac:dyDescent="0.25">
      <c r="A12" s="40">
        <v>1</v>
      </c>
      <c r="B12" s="42" t="s">
        <v>133</v>
      </c>
      <c r="C12" s="409" t="s">
        <v>269</v>
      </c>
      <c r="D12" s="409"/>
      <c r="E12" s="409"/>
    </row>
    <row r="13" spans="1:5" s="38" customFormat="1" ht="30" customHeight="1" x14ac:dyDescent="0.25">
      <c r="A13" s="40">
        <v>2</v>
      </c>
      <c r="B13" s="42" t="s">
        <v>11</v>
      </c>
      <c r="C13" s="444">
        <v>4750</v>
      </c>
      <c r="D13" s="444"/>
      <c r="E13" s="467"/>
    </row>
    <row r="14" spans="1:5" s="38" customFormat="1" ht="15.75" customHeight="1" x14ac:dyDescent="0.25">
      <c r="A14" s="40">
        <v>3</v>
      </c>
      <c r="B14" s="42" t="s">
        <v>12</v>
      </c>
      <c r="C14" s="409" t="s">
        <v>235</v>
      </c>
      <c r="D14" s="409"/>
      <c r="E14" s="409"/>
    </row>
    <row r="15" spans="1:5" s="38" customFormat="1" x14ac:dyDescent="0.25">
      <c r="A15" s="40">
        <v>4</v>
      </c>
      <c r="B15" s="43" t="s">
        <v>13</v>
      </c>
      <c r="C15" s="411"/>
      <c r="D15" s="411"/>
      <c r="E15" s="412"/>
    </row>
    <row r="16" spans="1:5" s="39" customFormat="1" x14ac:dyDescent="0.25">
      <c r="A16" s="404" t="s">
        <v>14</v>
      </c>
      <c r="B16" s="405"/>
      <c r="C16" s="405"/>
      <c r="D16" s="215" t="s">
        <v>275</v>
      </c>
      <c r="E16" s="216" t="s">
        <v>266</v>
      </c>
    </row>
    <row r="17" spans="1:5" s="39" customFormat="1" x14ac:dyDescent="0.25">
      <c r="A17" s="44">
        <v>1</v>
      </c>
      <c r="B17" s="406" t="s">
        <v>15</v>
      </c>
      <c r="C17" s="406"/>
      <c r="D17" s="61" t="s">
        <v>10</v>
      </c>
      <c r="E17" s="62" t="s">
        <v>10</v>
      </c>
    </row>
    <row r="18" spans="1:5" s="38" customFormat="1" ht="15.75" customHeight="1" x14ac:dyDescent="0.25">
      <c r="A18" s="45" t="s">
        <v>0</v>
      </c>
      <c r="B18" s="46" t="s">
        <v>16</v>
      </c>
      <c r="C18" s="43"/>
      <c r="D18" s="81">
        <f>C13</f>
        <v>4750</v>
      </c>
      <c r="E18" s="63">
        <f>C13</f>
        <v>4750</v>
      </c>
    </row>
    <row r="19" spans="1:5" s="38" customFormat="1" ht="15.75" customHeight="1" x14ac:dyDescent="0.25">
      <c r="A19" s="45" t="s">
        <v>2</v>
      </c>
      <c r="B19" s="46" t="s">
        <v>17</v>
      </c>
      <c r="C19" s="82"/>
      <c r="D19" s="83"/>
      <c r="E19" s="64"/>
    </row>
    <row r="20" spans="1:5" s="38" customFormat="1" ht="15.75" customHeight="1" x14ac:dyDescent="0.25">
      <c r="A20" s="45" t="s">
        <v>3</v>
      </c>
      <c r="B20" s="46" t="s">
        <v>18</v>
      </c>
      <c r="C20" s="115" t="s">
        <v>244</v>
      </c>
      <c r="D20" s="83">
        <f>40%*1412</f>
        <v>564.79999999999995</v>
      </c>
      <c r="E20" s="64">
        <f>40%*1412</f>
        <v>564.79999999999995</v>
      </c>
    </row>
    <row r="21" spans="1:5" s="38" customFormat="1" ht="15.75" customHeight="1" x14ac:dyDescent="0.25">
      <c r="A21" s="45" t="s">
        <v>5</v>
      </c>
      <c r="B21" s="46" t="s">
        <v>19</v>
      </c>
      <c r="C21" s="82"/>
      <c r="D21" s="83">
        <f>((((D18+D20)/220)*20%)*8)*15.21</f>
        <v>587.91</v>
      </c>
      <c r="E21" s="83">
        <f>((((E18+E20)/220)*20%)*8)*15.21</f>
        <v>587.91</v>
      </c>
    </row>
    <row r="22" spans="1:5" s="38" customFormat="1" ht="15.75" customHeight="1" x14ac:dyDescent="0.25">
      <c r="A22" s="45" t="s">
        <v>20</v>
      </c>
      <c r="B22" s="46" t="s">
        <v>203</v>
      </c>
      <c r="C22" s="82"/>
      <c r="D22" s="83"/>
      <c r="E22" s="64"/>
    </row>
    <row r="23" spans="1:5" s="38" customFormat="1" x14ac:dyDescent="0.25">
      <c r="A23" s="45" t="s">
        <v>21</v>
      </c>
      <c r="B23" s="46" t="s">
        <v>138</v>
      </c>
      <c r="C23" s="49"/>
      <c r="D23" s="83"/>
      <c r="E23" s="64"/>
    </row>
    <row r="24" spans="1:5" s="38" customFormat="1" ht="15.75" customHeight="1" x14ac:dyDescent="0.25">
      <c r="A24" s="45" t="s">
        <v>22</v>
      </c>
      <c r="B24" s="47" t="s">
        <v>139</v>
      </c>
      <c r="C24" s="49"/>
      <c r="D24" s="83"/>
      <c r="E24" s="64"/>
    </row>
    <row r="25" spans="1:5" s="39" customFormat="1" ht="15.75" customHeight="1" x14ac:dyDescent="0.25">
      <c r="A25" s="418" t="s">
        <v>152</v>
      </c>
      <c r="B25" s="419"/>
      <c r="C25" s="419"/>
      <c r="D25" s="70">
        <f>SUM(D18:D24)</f>
        <v>5902.71</v>
      </c>
      <c r="E25" s="65">
        <f>SUM(E18:E24)</f>
        <v>5902.71</v>
      </c>
    </row>
    <row r="26" spans="1:5" s="39" customFormat="1" x14ac:dyDescent="0.25">
      <c r="A26" s="404" t="s">
        <v>51</v>
      </c>
      <c r="B26" s="405"/>
      <c r="C26" s="405"/>
      <c r="D26" s="182"/>
      <c r="E26" s="150"/>
    </row>
    <row r="27" spans="1:5" s="38" customFormat="1" x14ac:dyDescent="0.25">
      <c r="A27" s="52">
        <v>2</v>
      </c>
      <c r="B27" s="420" t="s">
        <v>204</v>
      </c>
      <c r="C27" s="421"/>
      <c r="D27" s="74" t="s">
        <v>10</v>
      </c>
      <c r="E27" s="165" t="s">
        <v>10</v>
      </c>
    </row>
    <row r="28" spans="1:5" s="38" customFormat="1" x14ac:dyDescent="0.25">
      <c r="A28" s="50" t="s">
        <v>0</v>
      </c>
      <c r="B28" s="51" t="s">
        <v>28</v>
      </c>
      <c r="C28" s="59">
        <f>1/12</f>
        <v>8.3299999999999999E-2</v>
      </c>
      <c r="D28" s="84">
        <f>(D25)*C28</f>
        <v>491.7</v>
      </c>
      <c r="E28" s="66">
        <f>(E25)*C28</f>
        <v>491.7</v>
      </c>
    </row>
    <row r="29" spans="1:5" s="38" customFormat="1" x14ac:dyDescent="0.25">
      <c r="A29" s="50" t="s">
        <v>2</v>
      </c>
      <c r="B29" s="51" t="s">
        <v>148</v>
      </c>
      <c r="C29" s="59">
        <v>0.1111</v>
      </c>
      <c r="D29" s="84">
        <f>(D25)*C29</f>
        <v>655.79</v>
      </c>
      <c r="E29" s="66">
        <f>(E25)*C29</f>
        <v>655.79</v>
      </c>
    </row>
    <row r="30" spans="1:5" x14ac:dyDescent="0.25">
      <c r="A30" s="416" t="s">
        <v>27</v>
      </c>
      <c r="B30" s="417"/>
      <c r="C30" s="99">
        <f>SUM(C28:C29)</f>
        <v>0.19439999999999999</v>
      </c>
      <c r="D30" s="86">
        <f>SUM(D28:D29)</f>
        <v>1147.49</v>
      </c>
      <c r="E30" s="67">
        <f>SUM(E28:E29)</f>
        <v>1147.49</v>
      </c>
    </row>
    <row r="31" spans="1:5" ht="32.25" customHeight="1" x14ac:dyDescent="0.25">
      <c r="A31" s="476" t="s">
        <v>205</v>
      </c>
      <c r="B31" s="477"/>
      <c r="C31" s="477"/>
      <c r="D31" s="477"/>
      <c r="E31" s="478"/>
    </row>
    <row r="32" spans="1:5" x14ac:dyDescent="0.25">
      <c r="A32" s="77" t="s">
        <v>214</v>
      </c>
      <c r="B32" s="422" t="s">
        <v>25</v>
      </c>
      <c r="C32" s="423"/>
      <c r="D32" s="75" t="s">
        <v>10</v>
      </c>
      <c r="E32" s="159" t="s">
        <v>10</v>
      </c>
    </row>
    <row r="33" spans="1:5" x14ac:dyDescent="0.25">
      <c r="A33" s="50" t="s">
        <v>0</v>
      </c>
      <c r="B33" s="87" t="s">
        <v>206</v>
      </c>
      <c r="C33" s="59">
        <v>0.2</v>
      </c>
      <c r="D33" s="84">
        <f>(D25+D30)*C33</f>
        <v>1410.04</v>
      </c>
      <c r="E33" s="66">
        <f>(E25+E30)*C33</f>
        <v>1410.04</v>
      </c>
    </row>
    <row r="34" spans="1:5" x14ac:dyDescent="0.25">
      <c r="A34" s="50" t="s">
        <v>2</v>
      </c>
      <c r="B34" s="87" t="s">
        <v>207</v>
      </c>
      <c r="C34" s="88">
        <v>1.4999999999999999E-2</v>
      </c>
      <c r="D34" s="84">
        <f>(D25+D30)*C34</f>
        <v>105.75</v>
      </c>
      <c r="E34" s="66">
        <f>(E25+E30)*C34</f>
        <v>105.75</v>
      </c>
    </row>
    <row r="35" spans="1:5" x14ac:dyDescent="0.25">
      <c r="A35" s="50" t="s">
        <v>3</v>
      </c>
      <c r="B35" s="87" t="s">
        <v>208</v>
      </c>
      <c r="C35" s="88">
        <v>0.01</v>
      </c>
      <c r="D35" s="84">
        <f>(D25+D30)*C35</f>
        <v>70.5</v>
      </c>
      <c r="E35" s="66">
        <f>(E25+E30)*C35</f>
        <v>70.5</v>
      </c>
    </row>
    <row r="36" spans="1:5" ht="31.5" x14ac:dyDescent="0.25">
      <c r="A36" s="50" t="s">
        <v>5</v>
      </c>
      <c r="B36" s="73" t="s">
        <v>209</v>
      </c>
      <c r="C36" s="88">
        <v>2E-3</v>
      </c>
      <c r="D36" s="84">
        <f>(D25+D30)*C36</f>
        <v>14.1</v>
      </c>
      <c r="E36" s="66">
        <f>(E25+E30)*C36</f>
        <v>14.1</v>
      </c>
    </row>
    <row r="37" spans="1:5" x14ac:dyDescent="0.25">
      <c r="A37" s="50" t="s">
        <v>20</v>
      </c>
      <c r="B37" s="87" t="s">
        <v>210</v>
      </c>
      <c r="C37" s="88">
        <v>2.5000000000000001E-2</v>
      </c>
      <c r="D37" s="84">
        <f>(D25+D30)*C37</f>
        <v>176.26</v>
      </c>
      <c r="E37" s="66">
        <f>(E25+E30)*C37</f>
        <v>176.26</v>
      </c>
    </row>
    <row r="38" spans="1:5" x14ac:dyDescent="0.25">
      <c r="A38" s="50" t="s">
        <v>21</v>
      </c>
      <c r="B38" s="114" t="s">
        <v>211</v>
      </c>
      <c r="C38" s="88">
        <v>0.08</v>
      </c>
      <c r="D38" s="84">
        <f>(D25+D30)*C38</f>
        <v>564.02</v>
      </c>
      <c r="E38" s="66">
        <f>(E25+E30)*C38</f>
        <v>564.02</v>
      </c>
    </row>
    <row r="39" spans="1:5" ht="30.75" customHeight="1" x14ac:dyDescent="0.25">
      <c r="A39" s="50" t="s">
        <v>22</v>
      </c>
      <c r="B39" s="73" t="s">
        <v>212</v>
      </c>
      <c r="C39" s="88">
        <v>0.03</v>
      </c>
      <c r="D39" s="84">
        <f>(D25+D30)*C39</f>
        <v>211.51</v>
      </c>
      <c r="E39" s="66">
        <f>(E25+E30)*C39</f>
        <v>211.51</v>
      </c>
    </row>
    <row r="40" spans="1:5" x14ac:dyDescent="0.25">
      <c r="A40" s="50" t="s">
        <v>26</v>
      </c>
      <c r="B40" s="113" t="s">
        <v>213</v>
      </c>
      <c r="C40" s="88">
        <v>6.0000000000000001E-3</v>
      </c>
      <c r="D40" s="84">
        <f>(D25+D30)*C40</f>
        <v>42.3</v>
      </c>
      <c r="E40" s="66">
        <f>(E25+E30)*C40</f>
        <v>42.3</v>
      </c>
    </row>
    <row r="41" spans="1:5" s="30" customFormat="1" x14ac:dyDescent="0.25">
      <c r="A41" s="416" t="s">
        <v>27</v>
      </c>
      <c r="B41" s="417"/>
      <c r="C41" s="60">
        <f>SUM(C33:C40)</f>
        <v>0.36799999999999999</v>
      </c>
      <c r="D41" s="86">
        <f>SUM(D33:D40)</f>
        <v>2594.48</v>
      </c>
      <c r="E41" s="67">
        <f>SUM(E33:E40)</f>
        <v>2594.48</v>
      </c>
    </row>
    <row r="42" spans="1:5" s="30" customFormat="1" x14ac:dyDescent="0.25">
      <c r="A42" s="80" t="s">
        <v>215</v>
      </c>
      <c r="B42" s="414" t="s">
        <v>216</v>
      </c>
      <c r="C42" s="415"/>
      <c r="D42" s="174" t="s">
        <v>10</v>
      </c>
      <c r="E42" s="174" t="s">
        <v>10</v>
      </c>
    </row>
    <row r="43" spans="1:5" s="30" customFormat="1" x14ac:dyDescent="0.25">
      <c r="A43" s="98" t="s">
        <v>0</v>
      </c>
      <c r="B43" s="56" t="s">
        <v>144</v>
      </c>
      <c r="C43" s="112"/>
      <c r="D43" s="83">
        <v>0</v>
      </c>
      <c r="E43" s="83">
        <v>0</v>
      </c>
    </row>
    <row r="44" spans="1:5" s="30" customFormat="1" x14ac:dyDescent="0.25">
      <c r="A44" s="48" t="s">
        <v>2</v>
      </c>
      <c r="B44" s="47" t="s">
        <v>217</v>
      </c>
      <c r="C44" s="79"/>
      <c r="D44" s="83">
        <v>0</v>
      </c>
      <c r="E44" s="83">
        <v>0</v>
      </c>
    </row>
    <row r="45" spans="1:5" s="30" customFormat="1" x14ac:dyDescent="0.25">
      <c r="A45" s="50" t="s">
        <v>5</v>
      </c>
      <c r="B45" s="51" t="s">
        <v>134</v>
      </c>
      <c r="C45" s="90"/>
      <c r="D45" s="83">
        <v>0</v>
      </c>
      <c r="E45" s="83">
        <v>0</v>
      </c>
    </row>
    <row r="46" spans="1:5" s="30" customFormat="1" x14ac:dyDescent="0.25">
      <c r="A46" s="50" t="s">
        <v>20</v>
      </c>
      <c r="B46" s="51" t="s">
        <v>135</v>
      </c>
      <c r="C46" s="59"/>
      <c r="D46" s="83">
        <v>0</v>
      </c>
      <c r="E46" s="83">
        <v>0</v>
      </c>
    </row>
    <row r="47" spans="1:5" s="30" customFormat="1" x14ac:dyDescent="0.25">
      <c r="A47" s="50" t="s">
        <v>21</v>
      </c>
      <c r="B47" s="51" t="s">
        <v>136</v>
      </c>
      <c r="C47" s="90"/>
      <c r="D47" s="83">
        <v>0</v>
      </c>
      <c r="E47" s="83">
        <v>0</v>
      </c>
    </row>
    <row r="48" spans="1:5" s="30" customFormat="1" ht="15.75" customHeight="1" x14ac:dyDescent="0.25">
      <c r="A48" s="416" t="s">
        <v>23</v>
      </c>
      <c r="B48" s="417"/>
      <c r="C48" s="417"/>
      <c r="D48" s="86">
        <f>SUM(D43:D47)</f>
        <v>0</v>
      </c>
      <c r="E48" s="67">
        <f>SUM(E43:E47)</f>
        <v>0</v>
      </c>
    </row>
    <row r="49" spans="1:5" s="30" customFormat="1" ht="15.75" customHeight="1" x14ac:dyDescent="0.25">
      <c r="A49" s="404" t="s">
        <v>151</v>
      </c>
      <c r="B49" s="405"/>
      <c r="C49" s="405"/>
      <c r="D49" s="405"/>
      <c r="E49" s="479"/>
    </row>
    <row r="50" spans="1:5" s="30" customFormat="1" ht="15.75" customHeight="1" x14ac:dyDescent="0.25">
      <c r="A50" s="44" t="s">
        <v>141</v>
      </c>
      <c r="B50" s="104" t="s">
        <v>145</v>
      </c>
      <c r="C50" s="57"/>
      <c r="D50" s="69">
        <f>D30</f>
        <v>1147.49</v>
      </c>
      <c r="E50" s="176">
        <f>E30</f>
        <v>1147.49</v>
      </c>
    </row>
    <row r="51" spans="1:5" s="30" customFormat="1" ht="15.75" customHeight="1" x14ac:dyDescent="0.25">
      <c r="A51" s="44" t="s">
        <v>214</v>
      </c>
      <c r="B51" s="104" t="s">
        <v>146</v>
      </c>
      <c r="C51" s="57"/>
      <c r="D51" s="69">
        <f>D41</f>
        <v>2594.48</v>
      </c>
      <c r="E51" s="176">
        <f>E41</f>
        <v>2594.48</v>
      </c>
    </row>
    <row r="52" spans="1:5" s="30" customFormat="1" ht="15.75" customHeight="1" x14ac:dyDescent="0.25">
      <c r="A52" s="44" t="s">
        <v>215</v>
      </c>
      <c r="B52" s="104" t="s">
        <v>147</v>
      </c>
      <c r="C52" s="57"/>
      <c r="D52" s="69">
        <f>D48</f>
        <v>0</v>
      </c>
      <c r="E52" s="176">
        <f>E48</f>
        <v>0</v>
      </c>
    </row>
    <row r="53" spans="1:5" s="30" customFormat="1" ht="15.75" customHeight="1" x14ac:dyDescent="0.25">
      <c r="A53" s="418" t="s">
        <v>153</v>
      </c>
      <c r="B53" s="419"/>
      <c r="C53" s="419"/>
      <c r="D53" s="70">
        <f>SUM(D50:D52)</f>
        <v>3741.97</v>
      </c>
      <c r="E53" s="65">
        <f>SUM(E50:E52)</f>
        <v>3741.97</v>
      </c>
    </row>
    <row r="54" spans="1:5" s="30" customFormat="1" ht="15.75" customHeight="1" x14ac:dyDescent="0.25">
      <c r="A54" s="404" t="s">
        <v>162</v>
      </c>
      <c r="B54" s="405"/>
      <c r="C54" s="405"/>
      <c r="D54" s="405"/>
      <c r="E54" s="479"/>
    </row>
    <row r="55" spans="1:5" s="30" customFormat="1" ht="15.75" customHeight="1" x14ac:dyDescent="0.25">
      <c r="A55" s="52" t="s">
        <v>199</v>
      </c>
      <c r="B55" s="420" t="s">
        <v>32</v>
      </c>
      <c r="C55" s="429"/>
      <c r="D55" s="74" t="s">
        <v>10</v>
      </c>
      <c r="E55" s="165" t="s">
        <v>10</v>
      </c>
    </row>
    <row r="56" spans="1:5" s="30" customFormat="1" ht="15.75" customHeight="1" x14ac:dyDescent="0.25">
      <c r="A56" s="50" t="s">
        <v>0</v>
      </c>
      <c r="B56" s="51" t="s">
        <v>33</v>
      </c>
      <c r="C56" s="59">
        <v>4.5999999999999999E-3</v>
      </c>
      <c r="D56" s="84">
        <f>D$25*C56</f>
        <v>27.15</v>
      </c>
      <c r="E56" s="66">
        <f>E$25*C56</f>
        <v>27.15</v>
      </c>
    </row>
    <row r="57" spans="1:5" s="30" customFormat="1" ht="15.75" customHeight="1" x14ac:dyDescent="0.25">
      <c r="A57" s="50" t="s">
        <v>2</v>
      </c>
      <c r="B57" s="51" t="s">
        <v>34</v>
      </c>
      <c r="C57" s="59">
        <v>4.0000000000000002E-4</v>
      </c>
      <c r="D57" s="84">
        <f>D$25*C57</f>
        <v>2.36</v>
      </c>
      <c r="E57" s="66">
        <f>E$25*C57</f>
        <v>2.36</v>
      </c>
    </row>
    <row r="58" spans="1:5" s="30" customFormat="1" ht="15.75" customHeight="1" x14ac:dyDescent="0.25">
      <c r="A58" s="50" t="s">
        <v>3</v>
      </c>
      <c r="B58" s="51" t="s">
        <v>35</v>
      </c>
      <c r="C58" s="59">
        <v>1.9400000000000001E-2</v>
      </c>
      <c r="D58" s="84">
        <f>D$25*C58</f>
        <v>114.51</v>
      </c>
      <c r="E58" s="66">
        <f>E$25*C58</f>
        <v>114.51</v>
      </c>
    </row>
    <row r="59" spans="1:5" s="30" customFormat="1" ht="15.75" customHeight="1" x14ac:dyDescent="0.25">
      <c r="A59" s="50" t="s">
        <v>5</v>
      </c>
      <c r="B59" s="105" t="s">
        <v>174</v>
      </c>
      <c r="C59" s="59">
        <v>7.1000000000000004E-3</v>
      </c>
      <c r="D59" s="84">
        <f>D$25*C59</f>
        <v>41.91</v>
      </c>
      <c r="E59" s="66">
        <f>E$25*C59</f>
        <v>41.91</v>
      </c>
    </row>
    <row r="60" spans="1:5" s="30" customFormat="1" ht="32.25" customHeight="1" x14ac:dyDescent="0.25">
      <c r="A60" s="50" t="s">
        <v>20</v>
      </c>
      <c r="B60" s="51" t="s">
        <v>218</v>
      </c>
      <c r="C60" s="59">
        <v>0.04</v>
      </c>
      <c r="D60" s="84">
        <f>D$25*C60</f>
        <v>236.11</v>
      </c>
      <c r="E60" s="66">
        <f>E$25*C60</f>
        <v>236.11</v>
      </c>
    </row>
    <row r="61" spans="1:5" s="30" customFormat="1" x14ac:dyDescent="0.25">
      <c r="A61" s="418" t="s">
        <v>154</v>
      </c>
      <c r="B61" s="419"/>
      <c r="C61" s="419"/>
      <c r="D61" s="70">
        <f>SUM(D56:D60)</f>
        <v>422.04</v>
      </c>
      <c r="E61" s="65">
        <f>SUM(E56:E60)</f>
        <v>422.04</v>
      </c>
    </row>
    <row r="62" spans="1:5" s="30" customFormat="1" x14ac:dyDescent="0.25">
      <c r="A62" s="404" t="s">
        <v>163</v>
      </c>
      <c r="B62" s="405"/>
      <c r="C62" s="405"/>
      <c r="D62" s="405"/>
      <c r="E62" s="479"/>
    </row>
    <row r="63" spans="1:5" s="30" customFormat="1" x14ac:dyDescent="0.25">
      <c r="A63" s="52" t="s">
        <v>198</v>
      </c>
      <c r="B63" s="430" t="s">
        <v>36</v>
      </c>
      <c r="C63" s="430"/>
      <c r="D63" s="74" t="s">
        <v>10</v>
      </c>
      <c r="E63" s="165" t="s">
        <v>10</v>
      </c>
    </row>
    <row r="64" spans="1:5" s="30" customFormat="1" x14ac:dyDescent="0.25">
      <c r="A64" s="50" t="s">
        <v>0</v>
      </c>
      <c r="B64" s="51" t="s">
        <v>191</v>
      </c>
      <c r="C64" s="59">
        <v>9.2999999999999992E-3</v>
      </c>
      <c r="D64" s="84">
        <f>(D25+D53+D61+D84)*C64</f>
        <v>93.96</v>
      </c>
      <c r="E64" s="66">
        <f>(E25+E53+E61+E84)*C64</f>
        <v>93.96</v>
      </c>
    </row>
    <row r="65" spans="1:5" s="30" customFormat="1" x14ac:dyDescent="0.25">
      <c r="A65" s="50" t="s">
        <v>2</v>
      </c>
      <c r="B65" s="51" t="s">
        <v>192</v>
      </c>
      <c r="C65" s="59">
        <v>1.66E-2</v>
      </c>
      <c r="D65" s="84">
        <f>(D$25+D$53+D$61+D84)*C65</f>
        <v>167.72</v>
      </c>
      <c r="E65" s="66">
        <f>(E$25+E$53+E$61+E84)*C65</f>
        <v>167.72</v>
      </c>
    </row>
    <row r="66" spans="1:5" s="30" customFormat="1" x14ac:dyDescent="0.25">
      <c r="A66" s="50" t="s">
        <v>3</v>
      </c>
      <c r="B66" s="51" t="s">
        <v>193</v>
      </c>
      <c r="C66" s="59">
        <v>2.0000000000000001E-4</v>
      </c>
      <c r="D66" s="84">
        <f>(D$25+D$53+D$61+D$84)*C66</f>
        <v>2.02</v>
      </c>
      <c r="E66" s="66">
        <f>(E$25+E$53+E$61+E$84)*C66</f>
        <v>2.02</v>
      </c>
    </row>
    <row r="67" spans="1:5" s="30" customFormat="1" x14ac:dyDescent="0.25">
      <c r="A67" s="50" t="s">
        <v>5</v>
      </c>
      <c r="B67" s="51" t="s">
        <v>194</v>
      </c>
      <c r="C67" s="59">
        <v>2.7000000000000001E-3</v>
      </c>
      <c r="D67" s="84">
        <f>(D$25+D$53+D$61+D$84)*C67</f>
        <v>27.28</v>
      </c>
      <c r="E67" s="66">
        <f>(E$25+E$53+E$61+E$84)*C67</f>
        <v>27.28</v>
      </c>
    </row>
    <row r="68" spans="1:5" s="30" customFormat="1" x14ac:dyDescent="0.25">
      <c r="A68" s="50" t="s">
        <v>20</v>
      </c>
      <c r="B68" s="51" t="s">
        <v>195</v>
      </c>
      <c r="C68" s="59">
        <v>2.9999999999999997E-4</v>
      </c>
      <c r="D68" s="84">
        <f>(D$25+D$53+D$61+D$84)*C68</f>
        <v>3.03</v>
      </c>
      <c r="E68" s="66">
        <f>(E$25+E$53+E$61+E$84)*C68</f>
        <v>3.03</v>
      </c>
    </row>
    <row r="69" spans="1:5" s="30" customFormat="1" ht="15.75" customHeight="1" x14ac:dyDescent="0.25">
      <c r="A69" s="50" t="s">
        <v>21</v>
      </c>
      <c r="B69" s="55" t="s">
        <v>196</v>
      </c>
      <c r="C69" s="59">
        <v>0</v>
      </c>
      <c r="D69" s="84">
        <f>(D$25+D$53+D$61+D$84)*C69</f>
        <v>0</v>
      </c>
      <c r="E69" s="66">
        <f>(E$25+E$53+E$61+E$84)*C69</f>
        <v>0</v>
      </c>
    </row>
    <row r="70" spans="1:5" s="30" customFormat="1" x14ac:dyDescent="0.25">
      <c r="A70" s="416" t="s">
        <v>29</v>
      </c>
      <c r="B70" s="417"/>
      <c r="C70" s="60">
        <f>SUM(C64:C69)</f>
        <v>2.9100000000000001E-2</v>
      </c>
      <c r="D70" s="86">
        <f>SUM(D64:D69)</f>
        <v>294.01</v>
      </c>
      <c r="E70" s="67">
        <f>SUM(E64:E69)</f>
        <v>294.01</v>
      </c>
    </row>
    <row r="71" spans="1:5" s="30" customFormat="1" x14ac:dyDescent="0.25">
      <c r="A71" s="44"/>
      <c r="B71" s="57"/>
      <c r="C71" s="78"/>
      <c r="D71" s="78"/>
      <c r="E71" s="63"/>
    </row>
    <row r="72" spans="1:5" s="30" customFormat="1" x14ac:dyDescent="0.25">
      <c r="A72" s="44"/>
      <c r="B72" s="406" t="s">
        <v>200</v>
      </c>
      <c r="C72" s="431"/>
      <c r="D72" s="74" t="s">
        <v>10</v>
      </c>
      <c r="E72" s="165" t="s">
        <v>10</v>
      </c>
    </row>
    <row r="73" spans="1:5" s="30" customFormat="1" x14ac:dyDescent="0.25">
      <c r="A73" s="48" t="s">
        <v>0</v>
      </c>
      <c r="B73" s="116" t="s">
        <v>201</v>
      </c>
      <c r="C73" s="100">
        <v>0</v>
      </c>
      <c r="D73" s="189">
        <v>0</v>
      </c>
      <c r="E73" s="190">
        <v>0</v>
      </c>
    </row>
    <row r="74" spans="1:5" s="30" customFormat="1" ht="15.75" customHeight="1" x14ac:dyDescent="0.25">
      <c r="A74" s="416" t="s">
        <v>27</v>
      </c>
      <c r="B74" s="417"/>
      <c r="C74" s="101">
        <v>0</v>
      </c>
      <c r="D74" s="86">
        <f>D73</f>
        <v>0</v>
      </c>
      <c r="E74" s="67">
        <f>E73</f>
        <v>0</v>
      </c>
    </row>
    <row r="75" spans="1:5" s="30" customFormat="1" ht="15.75" customHeight="1" x14ac:dyDescent="0.25">
      <c r="A75" s="404" t="s">
        <v>30</v>
      </c>
      <c r="B75" s="405"/>
      <c r="C75" s="405"/>
      <c r="D75" s="405"/>
      <c r="E75" s="479"/>
    </row>
    <row r="76" spans="1:5" s="30" customFormat="1" ht="15.75" customHeight="1" x14ac:dyDescent="0.25">
      <c r="A76" s="432" t="s">
        <v>202</v>
      </c>
      <c r="B76" s="433"/>
      <c r="C76" s="433"/>
      <c r="D76" s="433"/>
      <c r="E76" s="485"/>
    </row>
    <row r="77" spans="1:5" s="30" customFormat="1" ht="15.75" customHeight="1" x14ac:dyDescent="0.25">
      <c r="A77" s="52">
        <v>4</v>
      </c>
      <c r="B77" s="420" t="s">
        <v>219</v>
      </c>
      <c r="C77" s="429"/>
      <c r="D77" s="74" t="s">
        <v>10</v>
      </c>
      <c r="E77" s="165" t="s">
        <v>10</v>
      </c>
    </row>
    <row r="78" spans="1:5" s="30" customFormat="1" ht="15.75" customHeight="1" x14ac:dyDescent="0.25">
      <c r="A78" s="50" t="s">
        <v>198</v>
      </c>
      <c r="B78" s="51" t="s">
        <v>197</v>
      </c>
      <c r="C78" s="59">
        <f>C70</f>
        <v>2.9100000000000001E-2</v>
      </c>
      <c r="D78" s="84">
        <f>D70</f>
        <v>294.01</v>
      </c>
      <c r="E78" s="66">
        <f>E70</f>
        <v>294.01</v>
      </c>
    </row>
    <row r="79" spans="1:5" s="30" customFormat="1" ht="15.75" customHeight="1" x14ac:dyDescent="0.25">
      <c r="A79" s="50" t="s">
        <v>220</v>
      </c>
      <c r="B79" s="51" t="s">
        <v>200</v>
      </c>
      <c r="C79" s="59">
        <v>0</v>
      </c>
      <c r="D79" s="84">
        <f>(D$25+D$53+D$61)*C79</f>
        <v>0</v>
      </c>
      <c r="E79" s="66">
        <f>(E$25+E$53+E$61)*C79</f>
        <v>0</v>
      </c>
    </row>
    <row r="80" spans="1:5" s="30" customFormat="1" ht="15.75" customHeight="1" x14ac:dyDescent="0.25">
      <c r="A80" s="416" t="s">
        <v>27</v>
      </c>
      <c r="B80" s="417"/>
      <c r="C80" s="99">
        <f>SUM(C78:C79)</f>
        <v>2.9100000000000001E-2</v>
      </c>
      <c r="D80" s="86">
        <f>SUM(D78:D79)</f>
        <v>294.01</v>
      </c>
      <c r="E80" s="67">
        <f>SUM(E78:E79)</f>
        <v>294.01</v>
      </c>
    </row>
    <row r="81" spans="1:5" s="30" customFormat="1" ht="15.75" customHeight="1" x14ac:dyDescent="0.25">
      <c r="A81" s="418" t="s">
        <v>155</v>
      </c>
      <c r="B81" s="419"/>
      <c r="C81" s="419"/>
      <c r="D81" s="70">
        <f>SUM(D74+D80)</f>
        <v>294.01</v>
      </c>
      <c r="E81" s="65">
        <f>SUM(E74+E80)</f>
        <v>294.01</v>
      </c>
    </row>
    <row r="82" spans="1:5" s="30" customFormat="1" ht="15.75" customHeight="1" x14ac:dyDescent="0.25">
      <c r="A82" s="427" t="s">
        <v>164</v>
      </c>
      <c r="B82" s="428"/>
      <c r="C82" s="428"/>
      <c r="D82" s="428"/>
      <c r="E82" s="484"/>
    </row>
    <row r="83" spans="1:5" s="30" customFormat="1" ht="15.75" customHeight="1" x14ac:dyDescent="0.25">
      <c r="A83" s="52">
        <v>5</v>
      </c>
      <c r="B83" s="420" t="s">
        <v>24</v>
      </c>
      <c r="C83" s="429"/>
      <c r="D83" s="74" t="s">
        <v>10</v>
      </c>
      <c r="E83" s="165" t="s">
        <v>10</v>
      </c>
    </row>
    <row r="84" spans="1:5" s="30" customFormat="1" ht="15.75" customHeight="1" x14ac:dyDescent="0.25">
      <c r="A84" s="233" t="s">
        <v>0</v>
      </c>
      <c r="B84" s="435" t="s">
        <v>221</v>
      </c>
      <c r="C84" s="435"/>
      <c r="D84" s="227">
        <f>Uniformes!H7</f>
        <v>36.61</v>
      </c>
      <c r="E84" s="228">
        <f>Uniformes!H7</f>
        <v>36.61</v>
      </c>
    </row>
    <row r="85" spans="1:5" s="30" customFormat="1" ht="15.75" customHeight="1" x14ac:dyDescent="0.25">
      <c r="A85" s="233" t="s">
        <v>2</v>
      </c>
      <c r="B85" s="435" t="s">
        <v>222</v>
      </c>
      <c r="C85" s="435"/>
      <c r="D85" s="227">
        <f>Materiais!H19</f>
        <v>44.57</v>
      </c>
      <c r="E85" s="228">
        <f>Materiais!H20</f>
        <v>44.57</v>
      </c>
    </row>
    <row r="86" spans="1:5" s="30" customFormat="1" ht="15.75" customHeight="1" x14ac:dyDescent="0.25">
      <c r="A86" s="233" t="s">
        <v>3</v>
      </c>
      <c r="B86" s="435" t="s">
        <v>187</v>
      </c>
      <c r="C86" s="435"/>
      <c r="D86" s="227">
        <f>Equipamentos!H19</f>
        <v>922.4</v>
      </c>
      <c r="E86" s="228">
        <f>Equipamentos!H20</f>
        <v>922.4</v>
      </c>
    </row>
    <row r="87" spans="1:5" s="30" customFormat="1" ht="15.75" customHeight="1" x14ac:dyDescent="0.25">
      <c r="A87" s="233" t="s">
        <v>5</v>
      </c>
      <c r="B87" s="435" t="s">
        <v>137</v>
      </c>
      <c r="C87" s="435"/>
      <c r="D87" s="227">
        <v>0</v>
      </c>
      <c r="E87" s="228">
        <v>0</v>
      </c>
    </row>
    <row r="88" spans="1:5" s="30" customFormat="1" ht="15.75" customHeight="1" x14ac:dyDescent="0.25">
      <c r="A88" s="486" t="s">
        <v>156</v>
      </c>
      <c r="B88" s="487"/>
      <c r="C88" s="487"/>
      <c r="D88" s="235">
        <f>SUM(D84:D87)</f>
        <v>1003.58</v>
      </c>
      <c r="E88" s="236">
        <f>SUM(E84:E87)</f>
        <v>1003.58</v>
      </c>
    </row>
    <row r="89" spans="1:5" s="30" customFormat="1" ht="30" customHeight="1" x14ac:dyDescent="0.25">
      <c r="A89" s="427" t="s">
        <v>224</v>
      </c>
      <c r="B89" s="428"/>
      <c r="C89" s="428"/>
      <c r="D89" s="161">
        <f>D88+D81+D61+D53+D25</f>
        <v>11364.31</v>
      </c>
      <c r="E89" s="184">
        <f>E88+E81+E61+E53+E25</f>
        <v>11364.31</v>
      </c>
    </row>
    <row r="90" spans="1:5" s="30" customFormat="1" ht="19.5" customHeight="1" x14ac:dyDescent="0.25">
      <c r="A90" s="404" t="s">
        <v>165</v>
      </c>
      <c r="B90" s="405"/>
      <c r="C90" s="405"/>
      <c r="D90" s="405"/>
      <c r="E90" s="479"/>
    </row>
    <row r="91" spans="1:5" s="30" customFormat="1" x14ac:dyDescent="0.25">
      <c r="A91" s="52">
        <v>5</v>
      </c>
      <c r="B91" s="420" t="s">
        <v>38</v>
      </c>
      <c r="C91" s="421"/>
      <c r="D91" s="74" t="s">
        <v>10</v>
      </c>
      <c r="E91" s="165" t="s">
        <v>10</v>
      </c>
    </row>
    <row r="92" spans="1:5" s="30" customFormat="1" x14ac:dyDescent="0.25">
      <c r="A92" s="52" t="s">
        <v>0</v>
      </c>
      <c r="B92" s="51" t="s">
        <v>39</v>
      </c>
      <c r="C92" s="59">
        <v>0.03</v>
      </c>
      <c r="D92" s="84">
        <f>+D89*C92</f>
        <v>340.93</v>
      </c>
      <c r="E92" s="66">
        <f>+E89*C92</f>
        <v>340.93</v>
      </c>
    </row>
    <row r="93" spans="1:5" s="30" customFormat="1" x14ac:dyDescent="0.25">
      <c r="A93" s="52" t="s">
        <v>2</v>
      </c>
      <c r="B93" s="51" t="s">
        <v>40</v>
      </c>
      <c r="C93" s="59">
        <v>6.7900000000000002E-2</v>
      </c>
      <c r="D93" s="84">
        <f>C93*(+D89+D92)</f>
        <v>794.79</v>
      </c>
      <c r="E93" s="66">
        <f>C93*(+E89+E92)</f>
        <v>794.79</v>
      </c>
    </row>
    <row r="94" spans="1:5" s="30" customFormat="1" ht="31.5" x14ac:dyDescent="0.25">
      <c r="A94" s="436" t="s">
        <v>3</v>
      </c>
      <c r="B94" s="51" t="s">
        <v>50</v>
      </c>
      <c r="C94" s="59">
        <f>1-C102</f>
        <v>0.85750000000000004</v>
      </c>
      <c r="D94" s="84">
        <f>+D89+D92+D93</f>
        <v>12500.03</v>
      </c>
      <c r="E94" s="66">
        <f>+E89+E92+E93</f>
        <v>12500.03</v>
      </c>
    </row>
    <row r="95" spans="1:5" s="30" customFormat="1" x14ac:dyDescent="0.25">
      <c r="A95" s="436"/>
      <c r="B95" s="55" t="s">
        <v>41</v>
      </c>
      <c r="C95" s="95"/>
      <c r="D95" s="162">
        <f>+D94/C94</f>
        <v>14577.29</v>
      </c>
      <c r="E95" s="185">
        <f>+E94/C94</f>
        <v>14577.29</v>
      </c>
    </row>
    <row r="96" spans="1:5" s="30" customFormat="1" x14ac:dyDescent="0.25">
      <c r="A96" s="436"/>
      <c r="B96" s="55" t="s">
        <v>42</v>
      </c>
      <c r="C96" s="72"/>
      <c r="D96" s="84"/>
      <c r="E96" s="66"/>
    </row>
    <row r="97" spans="1:5" s="30" customFormat="1" x14ac:dyDescent="0.25">
      <c r="A97" s="436"/>
      <c r="B97" s="51" t="s">
        <v>130</v>
      </c>
      <c r="C97" s="59">
        <v>1.6500000000000001E-2</v>
      </c>
      <c r="D97" s="84">
        <f>+D95*C97</f>
        <v>240.53</v>
      </c>
      <c r="E97" s="66">
        <f>+E95*C97</f>
        <v>240.53</v>
      </c>
    </row>
    <row r="98" spans="1:5" s="30" customFormat="1" x14ac:dyDescent="0.25">
      <c r="A98" s="436"/>
      <c r="B98" s="51" t="s">
        <v>131</v>
      </c>
      <c r="C98" s="59">
        <v>7.5999999999999998E-2</v>
      </c>
      <c r="D98" s="84">
        <f>+D95*C98</f>
        <v>1107.8699999999999</v>
      </c>
      <c r="E98" s="66">
        <f>+E95*C98</f>
        <v>1107.8699999999999</v>
      </c>
    </row>
    <row r="99" spans="1:5" s="30" customFormat="1" x14ac:dyDescent="0.25">
      <c r="A99" s="436"/>
      <c r="B99" s="53" t="s">
        <v>43</v>
      </c>
      <c r="C99" s="95"/>
      <c r="D99" s="84"/>
      <c r="E99" s="66"/>
    </row>
    <row r="100" spans="1:5" s="30" customFormat="1" x14ac:dyDescent="0.25">
      <c r="A100" s="436"/>
      <c r="B100" s="53" t="s">
        <v>44</v>
      </c>
      <c r="C100" s="102"/>
      <c r="D100" s="84"/>
      <c r="E100" s="66"/>
    </row>
    <row r="101" spans="1:5" s="30" customFormat="1" x14ac:dyDescent="0.25">
      <c r="A101" s="436"/>
      <c r="B101" s="51" t="s">
        <v>142</v>
      </c>
      <c r="C101" s="59">
        <v>0.05</v>
      </c>
      <c r="D101" s="84">
        <f>+D95*C101</f>
        <v>728.86</v>
      </c>
      <c r="E101" s="66">
        <f>+E95*C101</f>
        <v>728.86</v>
      </c>
    </row>
    <row r="102" spans="1:5" s="30" customFormat="1" x14ac:dyDescent="0.25">
      <c r="A102" s="52"/>
      <c r="B102" s="106" t="s">
        <v>45</v>
      </c>
      <c r="C102" s="107">
        <f>SUM(C97:C101)</f>
        <v>0.14249999999999999</v>
      </c>
      <c r="D102" s="108">
        <f>SUM(D97:D101)</f>
        <v>2077.2600000000002</v>
      </c>
      <c r="E102" s="179">
        <f>SUM(E97:E101)</f>
        <v>2077.2600000000002</v>
      </c>
    </row>
    <row r="103" spans="1:5" s="30" customFormat="1" ht="15.75" customHeight="1" x14ac:dyDescent="0.25">
      <c r="A103" s="416" t="s">
        <v>46</v>
      </c>
      <c r="B103" s="417"/>
      <c r="C103" s="417"/>
      <c r="D103" s="86">
        <f>+D92+D93+D102</f>
        <v>3212.98</v>
      </c>
      <c r="E103" s="67">
        <f>+E92+E93+E102</f>
        <v>3212.98</v>
      </c>
    </row>
    <row r="104" spans="1:5" s="30" customFormat="1" ht="15.75" customHeight="1" x14ac:dyDescent="0.25">
      <c r="A104" s="442" t="s">
        <v>47</v>
      </c>
      <c r="B104" s="443"/>
      <c r="C104" s="443"/>
      <c r="D104" s="76" t="s">
        <v>10</v>
      </c>
      <c r="E104" s="180" t="s">
        <v>10</v>
      </c>
    </row>
    <row r="105" spans="1:5" s="30" customFormat="1" x14ac:dyDescent="0.25">
      <c r="A105" s="50" t="s">
        <v>0</v>
      </c>
      <c r="B105" s="438" t="s">
        <v>48</v>
      </c>
      <c r="C105" s="438"/>
      <c r="D105" s="84">
        <f>D25</f>
        <v>5902.71</v>
      </c>
      <c r="E105" s="66">
        <f>E25</f>
        <v>5902.71</v>
      </c>
    </row>
    <row r="106" spans="1:5" s="30" customFormat="1" x14ac:dyDescent="0.25">
      <c r="A106" s="50" t="s">
        <v>2</v>
      </c>
      <c r="B106" s="438" t="s">
        <v>159</v>
      </c>
      <c r="C106" s="438"/>
      <c r="D106" s="84">
        <f>D53</f>
        <v>3741.97</v>
      </c>
      <c r="E106" s="66">
        <f>E53</f>
        <v>3741.97</v>
      </c>
    </row>
    <row r="107" spans="1:5" s="30" customFormat="1" x14ac:dyDescent="0.25">
      <c r="A107" s="50" t="s">
        <v>3</v>
      </c>
      <c r="B107" s="438" t="s">
        <v>157</v>
      </c>
      <c r="C107" s="438"/>
      <c r="D107" s="84">
        <f>D61</f>
        <v>422.04</v>
      </c>
      <c r="E107" s="66">
        <f>E61</f>
        <v>422.04</v>
      </c>
    </row>
    <row r="108" spans="1:5" s="30" customFormat="1" x14ac:dyDescent="0.25">
      <c r="A108" s="50" t="s">
        <v>5</v>
      </c>
      <c r="B108" s="438" t="s">
        <v>150</v>
      </c>
      <c r="C108" s="438"/>
      <c r="D108" s="84">
        <f>D81</f>
        <v>294.01</v>
      </c>
      <c r="E108" s="66">
        <f>E81</f>
        <v>294.01</v>
      </c>
    </row>
    <row r="109" spans="1:5" s="30" customFormat="1" x14ac:dyDescent="0.25">
      <c r="A109" s="50" t="s">
        <v>20</v>
      </c>
      <c r="B109" s="438" t="s">
        <v>158</v>
      </c>
      <c r="C109" s="438"/>
      <c r="D109" s="84">
        <f>D88</f>
        <v>1003.58</v>
      </c>
      <c r="E109" s="66">
        <f>E88</f>
        <v>1003.58</v>
      </c>
    </row>
    <row r="110" spans="1:5" s="30" customFormat="1" ht="15.75" customHeight="1" x14ac:dyDescent="0.25">
      <c r="A110" s="436" t="s">
        <v>160</v>
      </c>
      <c r="B110" s="437"/>
      <c r="C110" s="437"/>
      <c r="D110" s="108">
        <f>SUM(D105:D109)</f>
        <v>11364.31</v>
      </c>
      <c r="E110" s="179">
        <f>SUM(E105:E109)</f>
        <v>11364.31</v>
      </c>
    </row>
    <row r="111" spans="1:5" s="30" customFormat="1" x14ac:dyDescent="0.25">
      <c r="A111" s="52" t="s">
        <v>20</v>
      </c>
      <c r="B111" s="438" t="s">
        <v>161</v>
      </c>
      <c r="C111" s="438"/>
      <c r="D111" s="84">
        <f>+D103</f>
        <v>3212.98</v>
      </c>
      <c r="E111" s="66">
        <f>+E103</f>
        <v>3212.98</v>
      </c>
    </row>
    <row r="112" spans="1:5" s="30" customFormat="1" ht="16.5" customHeight="1" thickBot="1" x14ac:dyDescent="0.3">
      <c r="A112" s="439" t="s">
        <v>49</v>
      </c>
      <c r="B112" s="440"/>
      <c r="C112" s="440"/>
      <c r="D112" s="164">
        <f>+D110+D111</f>
        <v>14577.29</v>
      </c>
      <c r="E112" s="187">
        <f>+E110+E111</f>
        <v>14577.29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3">
    <mergeCell ref="A110:C110"/>
    <mergeCell ref="B111:C111"/>
    <mergeCell ref="A112:C112"/>
    <mergeCell ref="A104:C104"/>
    <mergeCell ref="B105:C105"/>
    <mergeCell ref="B106:C106"/>
    <mergeCell ref="B107:C107"/>
    <mergeCell ref="B108:C108"/>
    <mergeCell ref="B109:C109"/>
    <mergeCell ref="A103:C103"/>
    <mergeCell ref="A82:E82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81:C81"/>
    <mergeCell ref="B55:C55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54:E54"/>
    <mergeCell ref="A25:C2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B17:C17"/>
    <mergeCell ref="C7:E7"/>
    <mergeCell ref="A8:E8"/>
    <mergeCell ref="A9:E9"/>
    <mergeCell ref="A10:E10"/>
    <mergeCell ref="A11:C11"/>
    <mergeCell ref="D11:E11"/>
    <mergeCell ref="C12:E12"/>
    <mergeCell ref="C13:E13"/>
    <mergeCell ref="C14:E14"/>
    <mergeCell ref="C15:E15"/>
    <mergeCell ref="A16:C16"/>
    <mergeCell ref="C6:E6"/>
    <mergeCell ref="A1:E1"/>
    <mergeCell ref="A2:E2"/>
    <mergeCell ref="A3:E3"/>
    <mergeCell ref="C4:E4"/>
    <mergeCell ref="C5:E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2024-12-17T13:10:46Z</cp:lastPrinted>
  <dcterms:created xsi:type="dcterms:W3CDTF">2014-04-11T01:53:38Z</dcterms:created>
  <dcterms:modified xsi:type="dcterms:W3CDTF">2024-12-17T13:10:50Z</dcterms:modified>
</cp:coreProperties>
</file>